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C:\Users\DELL\Downloads\"/>
    </mc:Choice>
  </mc:AlternateContent>
  <xr:revisionPtr revIDLastSave="0" documentId="13_ncr:1_{EFCA7F78-A15A-49CC-8AC9-AFBBFB9C6D04}" xr6:coauthVersionLast="37" xr6:coauthVersionMax="45" xr10:uidLastSave="{00000000-0000-0000-0000-000000000000}"/>
  <bookViews>
    <workbookView xWindow="0" yWindow="0" windowWidth="24000" windowHeight="9525" xr2:uid="{00000000-000D-0000-FFFF-FFFF00000000}"/>
  </bookViews>
  <sheets>
    <sheet name="รวมใต้" sheetId="1" r:id="rId1"/>
    <sheet name="กระบี่" sheetId="2" r:id="rId2"/>
    <sheet name="ชุมพร" sheetId="3" r:id="rId3"/>
    <sheet name="ตรัง" sheetId="4" r:id="rId4"/>
    <sheet name="นครศรีธรรมราช" sheetId="5" r:id="rId5"/>
    <sheet name="นราธิวาส" sheetId="6" r:id="rId6"/>
    <sheet name="ปัตตานี" sheetId="7" r:id="rId7"/>
    <sheet name="พังงา" sheetId="8" r:id="rId8"/>
    <sheet name="พัทลุง" sheetId="9" r:id="rId9"/>
    <sheet name="ภูเก็ต" sheetId="10" r:id="rId10"/>
    <sheet name="ยะลา" sheetId="11" r:id="rId11"/>
    <sheet name="ระนอง" sheetId="12" r:id="rId12"/>
    <sheet name="สงขลา" sheetId="13" r:id="rId13"/>
    <sheet name="สตูล" sheetId="14" r:id="rId14"/>
    <sheet name="สุราษฎร์ธานี" sheetId="15" r:id="rId15"/>
  </sheets>
  <definedNames>
    <definedName name="_xlnm.Print_Titles" localSheetId="1">กระบี่!$1:$6</definedName>
    <definedName name="_xlnm.Print_Titles" localSheetId="2">ชุมพร!$1:$6</definedName>
    <definedName name="_xlnm.Print_Titles" localSheetId="3">ตรัง!$1:$6</definedName>
    <definedName name="_xlnm.Print_Titles" localSheetId="4">นครศรีธรรมราช!$1:$6</definedName>
    <definedName name="_xlnm.Print_Titles" localSheetId="5">นราธิวาส!$1:$6</definedName>
    <definedName name="_xlnm.Print_Titles" localSheetId="6">ปัตตานี!$1:$6</definedName>
    <definedName name="_xlnm.Print_Titles" localSheetId="7">พังงา!$1:$6</definedName>
    <definedName name="_xlnm.Print_Titles" localSheetId="8">พัทลุง!$1:$6</definedName>
    <definedName name="_xlnm.Print_Titles" localSheetId="9">ภูเก็ต!$1:$6</definedName>
    <definedName name="_xlnm.Print_Titles" localSheetId="10">ยะลา!$1:$6</definedName>
    <definedName name="_xlnm.Print_Titles" localSheetId="0">รวมใต้!$1:$6</definedName>
    <definedName name="_xlnm.Print_Titles" localSheetId="11">ระนอง!$1:$6</definedName>
    <definedName name="_xlnm.Print_Titles" localSheetId="12">สงขลา!$1:$6</definedName>
    <definedName name="_xlnm.Print_Titles" localSheetId="13">สตูล!$1:$6</definedName>
    <definedName name="_xlnm.Print_Titles" localSheetId="14">สุราษฎร์ธานี!$1:$6</definedName>
  </definedNames>
  <calcPr calcId="179021"/>
</workbook>
</file>

<file path=xl/calcChain.xml><?xml version="1.0" encoding="utf-8"?>
<calcChain xmlns="http://schemas.openxmlformats.org/spreadsheetml/2006/main">
  <c r="J677" i="15" l="1"/>
  <c r="J676" i="15"/>
  <c r="J675" i="15"/>
  <c r="J674" i="15"/>
  <c r="J673" i="15"/>
  <c r="J672" i="15"/>
  <c r="N671" i="15"/>
  <c r="L671" i="15"/>
  <c r="O671" i="15" s="1"/>
  <c r="I671" i="15"/>
  <c r="K671" i="15" s="1"/>
  <c r="J670" i="15"/>
  <c r="J669" i="15"/>
  <c r="N668" i="15"/>
  <c r="L668" i="15"/>
  <c r="O668" i="15" s="1"/>
  <c r="J668" i="15"/>
  <c r="I668" i="15"/>
  <c r="K668" i="15" s="1"/>
  <c r="J667" i="15"/>
  <c r="J666" i="15"/>
  <c r="N665" i="15"/>
  <c r="L665" i="15"/>
  <c r="O665" i="15" s="1"/>
  <c r="J665" i="15"/>
  <c r="I665" i="15"/>
  <c r="K665" i="15" s="1"/>
  <c r="J663" i="15"/>
  <c r="I663" i="15"/>
  <c r="K663" i="15" s="1"/>
  <c r="J662" i="15"/>
  <c r="N661" i="15"/>
  <c r="L661" i="15"/>
  <c r="O661" i="15" s="1"/>
  <c r="J661" i="15"/>
  <c r="J660" i="15"/>
  <c r="J659" i="15"/>
  <c r="J658" i="15"/>
  <c r="J657" i="15"/>
  <c r="J656" i="15"/>
  <c r="J655" i="15"/>
  <c r="J653" i="15"/>
  <c r="J652" i="15"/>
  <c r="N651" i="15"/>
  <c r="L651" i="15"/>
  <c r="O651" i="15" s="1"/>
  <c r="I651" i="15"/>
  <c r="K651" i="15" s="1"/>
  <c r="N650" i="15"/>
  <c r="L650" i="15"/>
  <c r="O650" i="15" s="1"/>
  <c r="J650" i="15"/>
  <c r="I650" i="15"/>
  <c r="K650" i="15" s="1"/>
  <c r="N649" i="15"/>
  <c r="L649" i="15"/>
  <c r="O649" i="15" s="1"/>
  <c r="J649" i="15"/>
  <c r="I649" i="15"/>
  <c r="K649" i="15" s="1"/>
  <c r="N648" i="15"/>
  <c r="L648" i="15"/>
  <c r="J648" i="15"/>
  <c r="I648" i="15"/>
  <c r="K648" i="15" s="1"/>
  <c r="J647" i="15"/>
  <c r="J646" i="15"/>
  <c r="O639" i="15"/>
  <c r="O637" i="15"/>
  <c r="J635" i="15"/>
  <c r="I635" i="15"/>
  <c r="J634" i="15"/>
  <c r="I634" i="15"/>
  <c r="J633" i="15"/>
  <c r="I633" i="15"/>
  <c r="K633" i="15" s="1"/>
  <c r="J632" i="15"/>
  <c r="I632" i="15"/>
  <c r="K632" i="15" s="1"/>
  <c r="J631" i="15"/>
  <c r="I631" i="15"/>
  <c r="J630" i="15"/>
  <c r="I630" i="15"/>
  <c r="J629" i="15"/>
  <c r="I629" i="15"/>
  <c r="J628" i="15"/>
  <c r="I628" i="15"/>
  <c r="J626" i="15"/>
  <c r="I626" i="15"/>
  <c r="J625" i="15"/>
  <c r="I625" i="15"/>
  <c r="J624" i="15"/>
  <c r="I624" i="15"/>
  <c r="J623" i="15"/>
  <c r="I623" i="15"/>
  <c r="J622" i="15"/>
  <c r="I622" i="15"/>
  <c r="J621" i="15"/>
  <c r="I621" i="15"/>
  <c r="J620" i="15"/>
  <c r="I620" i="15"/>
  <c r="K625" i="15" s="1"/>
  <c r="J619" i="15"/>
  <c r="I619" i="15"/>
  <c r="J618" i="15"/>
  <c r="I618" i="15"/>
  <c r="J617" i="15"/>
  <c r="I617" i="15"/>
  <c r="J616" i="15"/>
  <c r="I616" i="15"/>
  <c r="J615" i="15"/>
  <c r="I615" i="15"/>
  <c r="J614" i="15"/>
  <c r="I614" i="15"/>
  <c r="J613" i="15"/>
  <c r="I613" i="15"/>
  <c r="J612" i="15"/>
  <c r="I612" i="15"/>
  <c r="J611" i="15"/>
  <c r="I611" i="15"/>
  <c r="J610" i="15"/>
  <c r="J609" i="15"/>
  <c r="J608" i="15"/>
  <c r="J607" i="15"/>
  <c r="N605" i="15"/>
  <c r="N604" i="15"/>
  <c r="N603" i="15"/>
  <c r="N602" i="15"/>
  <c r="N601" i="15"/>
  <c r="L601" i="15"/>
  <c r="N600" i="15"/>
  <c r="L600" i="15"/>
  <c r="O600" i="15" s="1"/>
  <c r="N599" i="15"/>
  <c r="L599" i="15"/>
  <c r="N598" i="15"/>
  <c r="L598" i="15"/>
  <c r="O598" i="15" s="1"/>
  <c r="N597" i="15"/>
  <c r="L597" i="15"/>
  <c r="J597" i="15"/>
  <c r="I597" i="15"/>
  <c r="J596" i="15"/>
  <c r="I596" i="15"/>
  <c r="K596" i="15" s="1"/>
  <c r="J595" i="15"/>
  <c r="I595" i="15"/>
  <c r="K595" i="15" s="1"/>
  <c r="J594" i="15"/>
  <c r="I594" i="15"/>
  <c r="K594" i="15" s="1"/>
  <c r="J593" i="15"/>
  <c r="I593" i="15"/>
  <c r="K593" i="15" s="1"/>
  <c r="J592" i="15"/>
  <c r="I592" i="15"/>
  <c r="K592" i="15" s="1"/>
  <c r="J591" i="15"/>
  <c r="I591" i="15"/>
  <c r="K591" i="15" s="1"/>
  <c r="J590" i="15"/>
  <c r="I590" i="15"/>
  <c r="K590" i="15" s="1"/>
  <c r="J589" i="15"/>
  <c r="I589" i="15"/>
  <c r="K589" i="15" s="1"/>
  <c r="N588" i="15"/>
  <c r="N587" i="15"/>
  <c r="N586" i="15"/>
  <c r="N585" i="15"/>
  <c r="N584" i="15"/>
  <c r="L584" i="15"/>
  <c r="O584" i="15" s="1"/>
  <c r="N583" i="15"/>
  <c r="L583" i="15"/>
  <c r="O583" i="15" s="1"/>
  <c r="N582" i="15"/>
  <c r="L582" i="15"/>
  <c r="O582" i="15" s="1"/>
  <c r="N581" i="15"/>
  <c r="L581" i="15"/>
  <c r="O581" i="15" s="1"/>
  <c r="N580" i="15"/>
  <c r="L580" i="15"/>
  <c r="O580" i="15" s="1"/>
  <c r="J580" i="15"/>
  <c r="I580" i="15"/>
  <c r="K580" i="15" s="1"/>
  <c r="J579" i="15"/>
  <c r="I579" i="15"/>
  <c r="K579" i="15" s="1"/>
  <c r="J578" i="15"/>
  <c r="I578" i="15"/>
  <c r="K578" i="15" s="1"/>
  <c r="J577" i="15"/>
  <c r="I577" i="15"/>
  <c r="K577" i="15" s="1"/>
  <c r="J576" i="15"/>
  <c r="I576" i="15"/>
  <c r="K576" i="15" s="1"/>
  <c r="J575" i="15"/>
  <c r="I575" i="15"/>
  <c r="K575" i="15" s="1"/>
  <c r="J573" i="15"/>
  <c r="I573" i="15"/>
  <c r="N572" i="15"/>
  <c r="N571" i="15"/>
  <c r="N570" i="15"/>
  <c r="N569" i="15"/>
  <c r="N568" i="15"/>
  <c r="L568" i="15"/>
  <c r="N567" i="15"/>
  <c r="L567" i="15"/>
  <c r="O567" i="15" s="1"/>
  <c r="N566" i="15"/>
  <c r="L566" i="15"/>
  <c r="N565" i="15"/>
  <c r="L565" i="15"/>
  <c r="O565" i="15" s="1"/>
  <c r="N564" i="15"/>
  <c r="L564" i="15"/>
  <c r="J564" i="15"/>
  <c r="I564" i="15"/>
  <c r="J561" i="15"/>
  <c r="I561" i="15"/>
  <c r="K561" i="15" s="1"/>
  <c r="J560" i="15"/>
  <c r="I560" i="15"/>
  <c r="K560" i="15" s="1"/>
  <c r="N559" i="15"/>
  <c r="N558" i="15"/>
  <c r="N557" i="15"/>
  <c r="N556" i="15"/>
  <c r="N555" i="15"/>
  <c r="L555" i="15"/>
  <c r="O555" i="15" s="1"/>
  <c r="N554" i="15"/>
  <c r="L554" i="15"/>
  <c r="N553" i="15"/>
  <c r="L553" i="15"/>
  <c r="O553" i="15" s="1"/>
  <c r="N552" i="15"/>
  <c r="L552" i="15"/>
  <c r="O552" i="15" s="1"/>
  <c r="N551" i="15"/>
  <c r="L551" i="15"/>
  <c r="O551" i="15" s="1"/>
  <c r="J551" i="15"/>
  <c r="I551" i="15"/>
  <c r="K551" i="15" s="1"/>
  <c r="J550" i="15"/>
  <c r="J549" i="15"/>
  <c r="J548" i="15"/>
  <c r="I548" i="15"/>
  <c r="K548" i="15" s="1"/>
  <c r="J547" i="15"/>
  <c r="I547" i="15"/>
  <c r="J546" i="15"/>
  <c r="J545" i="15"/>
  <c r="J544" i="15"/>
  <c r="J543" i="15"/>
  <c r="N541" i="15"/>
  <c r="N540" i="15"/>
  <c r="N539" i="15"/>
  <c r="N538" i="15"/>
  <c r="N537" i="15"/>
  <c r="L537" i="15"/>
  <c r="N536" i="15"/>
  <c r="L536" i="15"/>
  <c r="O536" i="15" s="1"/>
  <c r="N535" i="15"/>
  <c r="L535" i="15"/>
  <c r="O535" i="15" s="1"/>
  <c r="N534" i="15"/>
  <c r="L534" i="15"/>
  <c r="O534" i="15" s="1"/>
  <c r="N533" i="15"/>
  <c r="L533" i="15"/>
  <c r="J533" i="15"/>
  <c r="I533" i="15"/>
  <c r="K533" i="15" s="1"/>
  <c r="J532" i="15"/>
  <c r="I532" i="15"/>
  <c r="J531" i="15"/>
  <c r="I531" i="15"/>
  <c r="J530" i="15"/>
  <c r="I530" i="15"/>
  <c r="J529" i="15"/>
  <c r="I529" i="15"/>
  <c r="J528" i="15"/>
  <c r="I528" i="15"/>
  <c r="J527" i="15"/>
  <c r="I527" i="15"/>
  <c r="J526" i="15"/>
  <c r="I526" i="15"/>
  <c r="J525" i="15"/>
  <c r="I525" i="15"/>
  <c r="J524" i="15"/>
  <c r="I524" i="15"/>
  <c r="J523" i="15"/>
  <c r="I523" i="15"/>
  <c r="J522" i="15"/>
  <c r="I522" i="15"/>
  <c r="J521" i="15"/>
  <c r="I521" i="15"/>
  <c r="J520" i="15"/>
  <c r="I520" i="15"/>
  <c r="J519" i="15"/>
  <c r="I519" i="15"/>
  <c r="J518" i="15"/>
  <c r="I518" i="15"/>
  <c r="J517" i="15"/>
  <c r="I517" i="15"/>
  <c r="J516" i="15"/>
  <c r="I516" i="15"/>
  <c r="J515" i="15"/>
  <c r="I515" i="15"/>
  <c r="K515" i="15" s="1"/>
  <c r="J514" i="15"/>
  <c r="I514" i="15"/>
  <c r="K514" i="15" s="1"/>
  <c r="J513" i="15"/>
  <c r="I513" i="15"/>
  <c r="K513" i="15" s="1"/>
  <c r="J512" i="15"/>
  <c r="I512" i="15"/>
  <c r="K512" i="15" s="1"/>
  <c r="J511" i="15"/>
  <c r="I511" i="15"/>
  <c r="K511" i="15" s="1"/>
  <c r="J510" i="15"/>
  <c r="I510" i="15"/>
  <c r="K510" i="15" s="1"/>
  <c r="J509" i="15"/>
  <c r="I509" i="15"/>
  <c r="K509" i="15" s="1"/>
  <c r="J508" i="15"/>
  <c r="I508" i="15"/>
  <c r="K508" i="15" s="1"/>
  <c r="J507" i="15"/>
  <c r="I507" i="15"/>
  <c r="K507" i="15" s="1"/>
  <c r="J506" i="15"/>
  <c r="I506" i="15"/>
  <c r="K506" i="15" s="1"/>
  <c r="J505" i="15"/>
  <c r="I505" i="15"/>
  <c r="K505" i="15" s="1"/>
  <c r="J504" i="15"/>
  <c r="I504" i="15"/>
  <c r="K504" i="15" s="1"/>
  <c r="J503" i="15"/>
  <c r="I503" i="15"/>
  <c r="K503" i="15" s="1"/>
  <c r="J502" i="15"/>
  <c r="I502" i="15"/>
  <c r="K502" i="15" s="1"/>
  <c r="J501" i="15"/>
  <c r="I501" i="15"/>
  <c r="K501" i="15" s="1"/>
  <c r="J500" i="15"/>
  <c r="I500" i="15"/>
  <c r="K500" i="15" s="1"/>
  <c r="J499" i="15"/>
  <c r="I499" i="15"/>
  <c r="J498" i="15"/>
  <c r="I498" i="15"/>
  <c r="J497" i="15"/>
  <c r="I497" i="15"/>
  <c r="J496" i="15"/>
  <c r="I496" i="15"/>
  <c r="K496" i="15" s="1"/>
  <c r="J495" i="15"/>
  <c r="I495" i="15"/>
  <c r="K495" i="15" s="1"/>
  <c r="J494" i="15"/>
  <c r="I494" i="15"/>
  <c r="K494" i="15" s="1"/>
  <c r="J493" i="15"/>
  <c r="I493" i="15"/>
  <c r="K493" i="15" s="1"/>
  <c r="J492" i="15"/>
  <c r="I492" i="15"/>
  <c r="K492" i="15" s="1"/>
  <c r="J491" i="15"/>
  <c r="I491" i="15"/>
  <c r="K491" i="15" s="1"/>
  <c r="J490" i="15"/>
  <c r="I490" i="15"/>
  <c r="K490" i="15" s="1"/>
  <c r="J489" i="15"/>
  <c r="I489" i="15"/>
  <c r="K489" i="15" s="1"/>
  <c r="J488" i="15"/>
  <c r="I488" i="15"/>
  <c r="K488" i="15" s="1"/>
  <c r="J487" i="15"/>
  <c r="I487" i="15"/>
  <c r="K487" i="15" s="1"/>
  <c r="J486" i="15"/>
  <c r="I486" i="15"/>
  <c r="K486" i="15" s="1"/>
  <c r="J485" i="15"/>
  <c r="I485" i="15"/>
  <c r="K485" i="15" s="1"/>
  <c r="J484" i="15"/>
  <c r="I484" i="15"/>
  <c r="K484" i="15" s="1"/>
  <c r="J483" i="15"/>
  <c r="I483" i="15"/>
  <c r="K483" i="15" s="1"/>
  <c r="J482" i="15"/>
  <c r="I482" i="15"/>
  <c r="K482" i="15" s="1"/>
  <c r="J481" i="15"/>
  <c r="I481" i="15"/>
  <c r="J480" i="15"/>
  <c r="I480" i="15"/>
  <c r="K480" i="15" s="1"/>
  <c r="J479" i="15"/>
  <c r="I479" i="15"/>
  <c r="K479" i="15" s="1"/>
  <c r="J478" i="15"/>
  <c r="I478" i="15"/>
  <c r="K478" i="15" s="1"/>
  <c r="J477" i="15"/>
  <c r="I477" i="15"/>
  <c r="K477" i="15" s="1"/>
  <c r="J476" i="15"/>
  <c r="I476" i="15"/>
  <c r="K476" i="15" s="1"/>
  <c r="J475" i="15"/>
  <c r="I475" i="15"/>
  <c r="K475" i="15" s="1"/>
  <c r="J474" i="15"/>
  <c r="I474" i="15"/>
  <c r="J473" i="15"/>
  <c r="I473" i="15"/>
  <c r="J472" i="15"/>
  <c r="I472" i="15"/>
  <c r="K472" i="15" s="1"/>
  <c r="J471" i="15"/>
  <c r="I471" i="15"/>
  <c r="K471" i="15" s="1"/>
  <c r="J470" i="15"/>
  <c r="I470" i="15"/>
  <c r="K470" i="15" s="1"/>
  <c r="J469" i="15"/>
  <c r="I469" i="15"/>
  <c r="K469" i="15" s="1"/>
  <c r="J468" i="15"/>
  <c r="I468" i="15"/>
  <c r="K468" i="15" s="1"/>
  <c r="J467" i="15"/>
  <c r="I467" i="15"/>
  <c r="K467" i="15" s="1"/>
  <c r="J466" i="15"/>
  <c r="I466" i="15"/>
  <c r="J465" i="15"/>
  <c r="I465" i="15"/>
  <c r="J464" i="15"/>
  <c r="I464" i="15"/>
  <c r="N463" i="15"/>
  <c r="N462" i="15"/>
  <c r="N461" i="15"/>
  <c r="N460" i="15"/>
  <c r="N459" i="15"/>
  <c r="L459" i="15"/>
  <c r="N458" i="15"/>
  <c r="L458" i="15"/>
  <c r="O458" i="15" s="1"/>
  <c r="N457" i="15"/>
  <c r="L457" i="15"/>
  <c r="N456" i="15"/>
  <c r="L456" i="15"/>
  <c r="O456" i="15" s="1"/>
  <c r="N455" i="15"/>
  <c r="L455" i="15"/>
  <c r="J455" i="15"/>
  <c r="I455" i="15"/>
  <c r="J454" i="15"/>
  <c r="J453" i="15"/>
  <c r="J452" i="15"/>
  <c r="I452" i="15"/>
  <c r="K452" i="15" s="1"/>
  <c r="J451" i="15"/>
  <c r="I451" i="15"/>
  <c r="K451" i="15" s="1"/>
  <c r="J450" i="15"/>
  <c r="I450" i="15"/>
  <c r="J449" i="15"/>
  <c r="I449" i="15"/>
  <c r="J448" i="15"/>
  <c r="J447" i="15"/>
  <c r="J446" i="15"/>
  <c r="J445" i="15"/>
  <c r="N443" i="15"/>
  <c r="N442" i="15"/>
  <c r="N441" i="15"/>
  <c r="N440" i="15"/>
  <c r="N439" i="15"/>
  <c r="L439" i="15"/>
  <c r="N438" i="15"/>
  <c r="L438" i="15"/>
  <c r="O438" i="15" s="1"/>
  <c r="N437" i="15"/>
  <c r="L437" i="15"/>
  <c r="N436" i="15"/>
  <c r="L436" i="15"/>
  <c r="N435" i="15"/>
  <c r="L435" i="15"/>
  <c r="J435" i="15"/>
  <c r="I435" i="15"/>
  <c r="J434" i="15"/>
  <c r="J433" i="15"/>
  <c r="J432" i="15"/>
  <c r="I432" i="15"/>
  <c r="K432" i="15" s="1"/>
  <c r="J431" i="15"/>
  <c r="I431" i="15"/>
  <c r="J430" i="15"/>
  <c r="I430" i="15"/>
  <c r="J429" i="15"/>
  <c r="I429" i="15"/>
  <c r="J428" i="15"/>
  <c r="I428" i="15"/>
  <c r="J427" i="15"/>
  <c r="I427" i="15"/>
  <c r="J426" i="15"/>
  <c r="I426" i="15"/>
  <c r="J425" i="15"/>
  <c r="I425" i="15"/>
  <c r="K425" i="15" s="1"/>
  <c r="J424" i="15"/>
  <c r="I424" i="15"/>
  <c r="K424" i="15" s="1"/>
  <c r="J423" i="15"/>
  <c r="I423" i="15"/>
  <c r="K423" i="15" s="1"/>
  <c r="J422" i="15"/>
  <c r="I422" i="15"/>
  <c r="K422" i="15" s="1"/>
  <c r="J421" i="15"/>
  <c r="I421" i="15"/>
  <c r="K421" i="15" s="1"/>
  <c r="J420" i="15"/>
  <c r="I420" i="15"/>
  <c r="J419" i="15"/>
  <c r="I419" i="15"/>
  <c r="J418" i="15"/>
  <c r="I418" i="15"/>
  <c r="J417" i="15"/>
  <c r="I417" i="15"/>
  <c r="J416" i="15"/>
  <c r="I416" i="15"/>
  <c r="J415" i="15"/>
  <c r="J414" i="15"/>
  <c r="J413" i="15"/>
  <c r="J412" i="15"/>
  <c r="N410" i="15"/>
  <c r="N409" i="15"/>
  <c r="N408" i="15"/>
  <c r="N407" i="15"/>
  <c r="N406" i="15"/>
  <c r="L406" i="15"/>
  <c r="N405" i="15"/>
  <c r="L405" i="15"/>
  <c r="O405" i="15" s="1"/>
  <c r="N404" i="15"/>
  <c r="L404" i="15"/>
  <c r="N403" i="15"/>
  <c r="L403" i="15"/>
  <c r="O403" i="15" s="1"/>
  <c r="J402" i="15"/>
  <c r="I402" i="15"/>
  <c r="N401" i="15"/>
  <c r="L401" i="15"/>
  <c r="J401" i="15"/>
  <c r="I401" i="15"/>
  <c r="J400" i="15"/>
  <c r="J399" i="15"/>
  <c r="J398" i="15"/>
  <c r="I398" i="15"/>
  <c r="J397" i="15"/>
  <c r="I397" i="15"/>
  <c r="J396" i="15"/>
  <c r="I396" i="15"/>
  <c r="J394" i="15"/>
  <c r="J393" i="15"/>
  <c r="J392" i="15"/>
  <c r="J391" i="15"/>
  <c r="N389" i="15"/>
  <c r="N388" i="15"/>
  <c r="N387" i="15"/>
  <c r="N386" i="15"/>
  <c r="N385" i="15"/>
  <c r="L385" i="15"/>
  <c r="N384" i="15"/>
  <c r="L384" i="15"/>
  <c r="O384" i="15" s="1"/>
  <c r="N383" i="15"/>
  <c r="L383" i="15"/>
  <c r="N382" i="15"/>
  <c r="L382" i="15"/>
  <c r="O382" i="15" s="1"/>
  <c r="J381" i="15"/>
  <c r="I381" i="15"/>
  <c r="N380" i="15"/>
  <c r="L380" i="15"/>
  <c r="J380" i="15"/>
  <c r="I380" i="15"/>
  <c r="J379" i="15"/>
  <c r="J378" i="15"/>
  <c r="J377" i="15"/>
  <c r="I377" i="15"/>
  <c r="J376" i="15"/>
  <c r="I376" i="15"/>
  <c r="J375" i="15"/>
  <c r="I375" i="15"/>
  <c r="J374" i="15"/>
  <c r="I374" i="15"/>
  <c r="J373" i="15"/>
  <c r="I373" i="15"/>
  <c r="K373" i="15" s="1"/>
  <c r="J372" i="15"/>
  <c r="I372" i="15"/>
  <c r="J371" i="15"/>
  <c r="I371" i="15"/>
  <c r="J370" i="15"/>
  <c r="I370" i="15"/>
  <c r="J369" i="15"/>
  <c r="I369" i="15"/>
  <c r="K369" i="15" s="1"/>
  <c r="J368" i="15"/>
  <c r="I368" i="15"/>
  <c r="J367" i="15"/>
  <c r="J366" i="15"/>
  <c r="J365" i="15"/>
  <c r="I365" i="15"/>
  <c r="K365" i="15" s="1"/>
  <c r="J364" i="15"/>
  <c r="J363" i="15"/>
  <c r="J362" i="15"/>
  <c r="J361" i="15"/>
  <c r="J360" i="15"/>
  <c r="N358" i="15"/>
  <c r="N357" i="15"/>
  <c r="N356" i="15"/>
  <c r="N355" i="15"/>
  <c r="N354" i="15"/>
  <c r="L354" i="15"/>
  <c r="N353" i="15"/>
  <c r="L353" i="15"/>
  <c r="O353" i="15" s="1"/>
  <c r="N352" i="15"/>
  <c r="L352" i="15"/>
  <c r="N351" i="15"/>
  <c r="L351" i="15"/>
  <c r="O351" i="15" s="1"/>
  <c r="J350" i="15"/>
  <c r="I350" i="15"/>
  <c r="N349" i="15"/>
  <c r="L349" i="15"/>
  <c r="J349" i="15"/>
  <c r="I349" i="15"/>
  <c r="N347" i="15"/>
  <c r="L347" i="15"/>
  <c r="J346" i="15"/>
  <c r="I346" i="15"/>
  <c r="K346" i="15" s="1"/>
  <c r="J345" i="15"/>
  <c r="I345" i="15"/>
  <c r="J344" i="15"/>
  <c r="I344" i="15"/>
  <c r="K344" i="15" s="1"/>
  <c r="J343" i="15"/>
  <c r="I343" i="15"/>
  <c r="J342" i="15"/>
  <c r="I342" i="15"/>
  <c r="K342" i="15" s="1"/>
  <c r="J341" i="15"/>
  <c r="I341" i="15"/>
  <c r="J340" i="15"/>
  <c r="I340" i="15"/>
  <c r="J339" i="15"/>
  <c r="I339" i="15"/>
  <c r="K339" i="15" s="1"/>
  <c r="N337" i="15"/>
  <c r="L337" i="15"/>
  <c r="L335" i="15"/>
  <c r="L334" i="15"/>
  <c r="N333" i="15"/>
  <c r="M333" i="15"/>
  <c r="O332" i="15"/>
  <c r="P330" i="15"/>
  <c r="N330" i="15"/>
  <c r="M330" i="15"/>
  <c r="L330" i="15"/>
  <c r="J328" i="15"/>
  <c r="I328" i="15"/>
  <c r="J326" i="15"/>
  <c r="J325" i="15"/>
  <c r="J324" i="15"/>
  <c r="I324" i="15"/>
  <c r="J323" i="15"/>
  <c r="J322" i="15"/>
  <c r="J321" i="15"/>
  <c r="J320" i="15"/>
  <c r="N318" i="15"/>
  <c r="L318" i="15"/>
  <c r="O318" i="15" s="1"/>
  <c r="L316" i="15"/>
  <c r="L315" i="15"/>
  <c r="N314" i="15"/>
  <c r="M314" i="15"/>
  <c r="O313" i="15"/>
  <c r="N311" i="15"/>
  <c r="M311" i="15"/>
  <c r="P311" i="15" s="1"/>
  <c r="L311" i="15"/>
  <c r="J309" i="15"/>
  <c r="I309" i="15"/>
  <c r="J308" i="15"/>
  <c r="J307" i="15"/>
  <c r="J306" i="15"/>
  <c r="I306" i="15"/>
  <c r="J304" i="15"/>
  <c r="I304" i="15"/>
  <c r="J303" i="15"/>
  <c r="J302" i="15"/>
  <c r="J301" i="15"/>
  <c r="J300" i="15"/>
  <c r="N298" i="15"/>
  <c r="L298" i="15"/>
  <c r="L296" i="15"/>
  <c r="L295" i="15"/>
  <c r="N294" i="15"/>
  <c r="M294" i="15"/>
  <c r="O293" i="15"/>
  <c r="O291" i="15"/>
  <c r="N291" i="15"/>
  <c r="M291" i="15"/>
  <c r="L291" i="15"/>
  <c r="J289" i="15"/>
  <c r="I289" i="15"/>
  <c r="J287" i="15"/>
  <c r="J286" i="15"/>
  <c r="J285" i="15"/>
  <c r="I285" i="15"/>
  <c r="J284" i="15"/>
  <c r="J283" i="15"/>
  <c r="J282" i="15"/>
  <c r="J281" i="15"/>
  <c r="N279" i="15"/>
  <c r="L279" i="15"/>
  <c r="O279" i="15" s="1"/>
  <c r="L277" i="15"/>
  <c r="L276" i="15"/>
  <c r="N275" i="15"/>
  <c r="M275" i="15"/>
  <c r="M273" i="15" s="1"/>
  <c r="M271" i="15" s="1"/>
  <c r="O274" i="15"/>
  <c r="P272" i="15"/>
  <c r="O272" i="15"/>
  <c r="N272" i="15"/>
  <c r="M272" i="15"/>
  <c r="L272" i="15"/>
  <c r="J270" i="15"/>
  <c r="I270" i="15"/>
  <c r="J269" i="15"/>
  <c r="J268" i="15"/>
  <c r="J267" i="15"/>
  <c r="I267" i="15"/>
  <c r="J266" i="15"/>
  <c r="I266" i="15"/>
  <c r="J265" i="15"/>
  <c r="I265" i="15"/>
  <c r="J264" i="15"/>
  <c r="I264" i="15"/>
  <c r="J263" i="15"/>
  <c r="J262" i="15"/>
  <c r="J261" i="15"/>
  <c r="J260" i="15"/>
  <c r="N258" i="15"/>
  <c r="L258" i="15"/>
  <c r="O258" i="15" s="1"/>
  <c r="L256" i="15"/>
  <c r="L255" i="15"/>
  <c r="N254" i="15"/>
  <c r="M254" i="15"/>
  <c r="M252" i="15" s="1"/>
  <c r="O253" i="15"/>
  <c r="P251" i="15"/>
  <c r="O251" i="15"/>
  <c r="N251" i="15"/>
  <c r="M251" i="15"/>
  <c r="L251" i="15"/>
  <c r="J249" i="15"/>
  <c r="I249" i="15"/>
  <c r="J246" i="15"/>
  <c r="J245" i="15"/>
  <c r="J244" i="15"/>
  <c r="I244" i="15"/>
  <c r="K244" i="15" s="1"/>
  <c r="J243" i="15"/>
  <c r="J242" i="15"/>
  <c r="J241" i="15"/>
  <c r="J240" i="15"/>
  <c r="J238" i="15"/>
  <c r="I238" i="15"/>
  <c r="K238" i="15" s="1"/>
  <c r="J237" i="15"/>
  <c r="J236" i="15"/>
  <c r="J235" i="15"/>
  <c r="I235" i="15"/>
  <c r="J234" i="15"/>
  <c r="J233" i="15"/>
  <c r="J232" i="15"/>
  <c r="J231" i="15"/>
  <c r="J229" i="15"/>
  <c r="I229" i="15"/>
  <c r="N228" i="15"/>
  <c r="L228" i="15"/>
  <c r="L226" i="15"/>
  <c r="L225" i="15"/>
  <c r="N224" i="15"/>
  <c r="M224" i="15"/>
  <c r="M222" i="15" s="1"/>
  <c r="O223" i="15"/>
  <c r="O221" i="15"/>
  <c r="N221" i="15"/>
  <c r="M221" i="15"/>
  <c r="L221" i="15"/>
  <c r="J219" i="15"/>
  <c r="I219" i="15"/>
  <c r="J218" i="15"/>
  <c r="J217" i="15"/>
  <c r="J216" i="15"/>
  <c r="I216" i="15"/>
  <c r="K216" i="15" s="1"/>
  <c r="J215" i="15"/>
  <c r="I215" i="15"/>
  <c r="K215" i="15" s="1"/>
  <c r="J213" i="15"/>
  <c r="I213" i="15"/>
  <c r="K213" i="15" s="1"/>
  <c r="J212" i="15"/>
  <c r="J211" i="15"/>
  <c r="J210" i="15"/>
  <c r="J209" i="15"/>
  <c r="J204" i="15"/>
  <c r="I204" i="15"/>
  <c r="K204" i="15" s="1"/>
  <c r="J203" i="15"/>
  <c r="J202" i="15"/>
  <c r="J201" i="15"/>
  <c r="I201" i="15"/>
  <c r="K201" i="15" s="1"/>
  <c r="J200" i="15"/>
  <c r="I200" i="15"/>
  <c r="J199" i="15"/>
  <c r="I199" i="15"/>
  <c r="J197" i="15"/>
  <c r="J196" i="15"/>
  <c r="J195" i="15"/>
  <c r="J194" i="15"/>
  <c r="J189" i="15"/>
  <c r="I189" i="15"/>
  <c r="J188" i="15"/>
  <c r="J187" i="15"/>
  <c r="J186" i="15"/>
  <c r="I186" i="15"/>
  <c r="K186" i="15" s="1"/>
  <c r="J185" i="15"/>
  <c r="I185" i="15"/>
  <c r="K185" i="15" s="1"/>
  <c r="J184" i="15"/>
  <c r="J183" i="15"/>
  <c r="J182" i="15"/>
  <c r="J181" i="15"/>
  <c r="J176" i="15"/>
  <c r="I176" i="15"/>
  <c r="K176" i="15" s="1"/>
  <c r="J175" i="15"/>
  <c r="J174" i="15"/>
  <c r="J173" i="15"/>
  <c r="I173" i="15"/>
  <c r="J172" i="15"/>
  <c r="J171" i="15"/>
  <c r="J170" i="15"/>
  <c r="J169" i="15"/>
  <c r="J164" i="15"/>
  <c r="I164" i="15"/>
  <c r="J163" i="15"/>
  <c r="J162" i="15"/>
  <c r="J161" i="15"/>
  <c r="J160" i="15"/>
  <c r="J159" i="15"/>
  <c r="J158" i="15"/>
  <c r="I158" i="15"/>
  <c r="J157" i="15"/>
  <c r="J156" i="15"/>
  <c r="J155" i="15"/>
  <c r="J154" i="15"/>
  <c r="J149" i="15"/>
  <c r="I149" i="15"/>
  <c r="N148" i="15"/>
  <c r="L148" i="15"/>
  <c r="L146" i="15"/>
  <c r="L145" i="15"/>
  <c r="N144" i="15"/>
  <c r="M144" i="15"/>
  <c r="O143" i="15"/>
  <c r="N141" i="15"/>
  <c r="M141" i="15"/>
  <c r="P141" i="15" s="1"/>
  <c r="L141" i="15"/>
  <c r="J138" i="15"/>
  <c r="I138" i="15"/>
  <c r="K138" i="15" s="1"/>
  <c r="J135" i="15"/>
  <c r="J134" i="15"/>
  <c r="J133" i="15"/>
  <c r="I133" i="15"/>
  <c r="J132" i="15"/>
  <c r="I132" i="15"/>
  <c r="J131" i="15"/>
  <c r="J130" i="15"/>
  <c r="J129" i="15"/>
  <c r="J128" i="15"/>
  <c r="N126" i="15"/>
  <c r="L126" i="15"/>
  <c r="O126" i="15" s="1"/>
  <c r="L124" i="15"/>
  <c r="L123" i="15"/>
  <c r="N122" i="15"/>
  <c r="M122" i="15"/>
  <c r="M120" i="15" s="1"/>
  <c r="O121" i="15"/>
  <c r="N119" i="15"/>
  <c r="M119" i="15"/>
  <c r="L119" i="15"/>
  <c r="O119" i="15" s="1"/>
  <c r="J117" i="15"/>
  <c r="I117" i="15"/>
  <c r="J115" i="15"/>
  <c r="J114" i="15"/>
  <c r="J113" i="15"/>
  <c r="I113" i="15"/>
  <c r="K113" i="15" s="1"/>
  <c r="J112" i="15"/>
  <c r="I112" i="15"/>
  <c r="K112" i="15" s="1"/>
  <c r="J111" i="15"/>
  <c r="I111" i="15"/>
  <c r="K111" i="15" s="1"/>
  <c r="J110" i="15"/>
  <c r="I110" i="15"/>
  <c r="K110" i="15" s="1"/>
  <c r="J109" i="15"/>
  <c r="I109" i="15"/>
  <c r="K109" i="15" s="1"/>
  <c r="J108" i="15"/>
  <c r="I108" i="15"/>
  <c r="K108" i="15" s="1"/>
  <c r="J107" i="15"/>
  <c r="J106" i="15"/>
  <c r="J105" i="15"/>
  <c r="J104" i="15"/>
  <c r="N102" i="15"/>
  <c r="L102" i="15"/>
  <c r="O102" i="15" s="1"/>
  <c r="L100" i="15"/>
  <c r="L99" i="15"/>
  <c r="N98" i="15"/>
  <c r="M98" i="15"/>
  <c r="O97" i="15"/>
  <c r="P95" i="15"/>
  <c r="N95" i="15"/>
  <c r="M95" i="15"/>
  <c r="L95" i="15"/>
  <c r="J93" i="15"/>
  <c r="I93" i="15"/>
  <c r="K93" i="15" s="1"/>
  <c r="J92" i="15"/>
  <c r="I92" i="15"/>
  <c r="K92" i="15" s="1"/>
  <c r="J90" i="15"/>
  <c r="J89" i="15"/>
  <c r="J88" i="15"/>
  <c r="I88" i="15"/>
  <c r="K88" i="15" s="1"/>
  <c r="J87" i="15"/>
  <c r="I87" i="15"/>
  <c r="K87" i="15" s="1"/>
  <c r="J86" i="15"/>
  <c r="I86" i="15"/>
  <c r="K86" i="15" s="1"/>
  <c r="J85" i="15"/>
  <c r="I85" i="15"/>
  <c r="K85" i="15" s="1"/>
  <c r="J84" i="15"/>
  <c r="I84" i="15"/>
  <c r="K84" i="15" s="1"/>
  <c r="J83" i="15"/>
  <c r="I83" i="15"/>
  <c r="K83" i="15" s="1"/>
  <c r="J82" i="15"/>
  <c r="I82" i="15"/>
  <c r="K82" i="15" s="1"/>
  <c r="J81" i="15"/>
  <c r="I81" i="15"/>
  <c r="K81" i="15" s="1"/>
  <c r="J80" i="15"/>
  <c r="I80" i="15"/>
  <c r="K80" i="15" s="1"/>
  <c r="J79" i="15"/>
  <c r="J78" i="15"/>
  <c r="J77" i="15"/>
  <c r="J76" i="15"/>
  <c r="N74" i="15"/>
  <c r="L74" i="15"/>
  <c r="O74" i="15" s="1"/>
  <c r="L72" i="15"/>
  <c r="L71" i="15"/>
  <c r="N70" i="15"/>
  <c r="M70" i="15"/>
  <c r="P70" i="15" s="1"/>
  <c r="O69" i="15"/>
  <c r="P67" i="15"/>
  <c r="O67" i="15"/>
  <c r="N67" i="15"/>
  <c r="M67" i="15"/>
  <c r="L67" i="15"/>
  <c r="J65" i="15"/>
  <c r="I65" i="15"/>
  <c r="K65" i="15" s="1"/>
  <c r="J64" i="15"/>
  <c r="I64" i="15"/>
  <c r="K64" i="15" s="1"/>
  <c r="N61" i="15"/>
  <c r="L61" i="15"/>
  <c r="O61" i="15" s="1"/>
  <c r="L59" i="15"/>
  <c r="L58" i="15"/>
  <c r="N57" i="15"/>
  <c r="M57" i="15"/>
  <c r="M55" i="15" s="1"/>
  <c r="M53" i="15" s="1"/>
  <c r="P54" i="15"/>
  <c r="O54" i="15"/>
  <c r="N54" i="15"/>
  <c r="M54" i="15"/>
  <c r="L54" i="15"/>
  <c r="N49" i="15"/>
  <c r="L49" i="15"/>
  <c r="L47" i="15"/>
  <c r="L46" i="15"/>
  <c r="N45" i="15"/>
  <c r="M45" i="15"/>
  <c r="P42" i="15"/>
  <c r="N42" i="15"/>
  <c r="M42" i="15"/>
  <c r="L42" i="15"/>
  <c r="O42" i="15" s="1"/>
  <c r="P36" i="15"/>
  <c r="O36" i="15"/>
  <c r="P35" i="15"/>
  <c r="O35" i="15"/>
  <c r="M34" i="15"/>
  <c r="P34" i="15" s="1"/>
  <c r="P33" i="15"/>
  <c r="M33" i="15"/>
  <c r="P32" i="15"/>
  <c r="M32" i="15"/>
  <c r="M31" i="15"/>
  <c r="P31" i="15" s="1"/>
  <c r="M30" i="15"/>
  <c r="P30" i="15" s="1"/>
  <c r="M29" i="15"/>
  <c r="P25" i="15"/>
  <c r="O25" i="15"/>
  <c r="N25" i="15"/>
  <c r="N15" i="15" s="1"/>
  <c r="M25" i="15"/>
  <c r="L25" i="15"/>
  <c r="N24" i="15"/>
  <c r="M24" i="15"/>
  <c r="P24" i="15" s="1"/>
  <c r="N23" i="15"/>
  <c r="M23" i="15"/>
  <c r="P23" i="15" s="1"/>
  <c r="P21" i="15"/>
  <c r="N21" i="15"/>
  <c r="M21" i="15"/>
  <c r="L21" i="15"/>
  <c r="P19" i="15"/>
  <c r="N19" i="15"/>
  <c r="M19" i="15"/>
  <c r="M15" i="15"/>
  <c r="P15" i="15" s="1"/>
  <c r="L15" i="15"/>
  <c r="O15" i="15" s="1"/>
  <c r="M11" i="15"/>
  <c r="P11" i="15" s="1"/>
  <c r="M9" i="15"/>
  <c r="J677" i="14"/>
  <c r="J676" i="14"/>
  <c r="J675" i="14"/>
  <c r="J674" i="14"/>
  <c r="J673" i="14"/>
  <c r="J672" i="14"/>
  <c r="N671" i="14"/>
  <c r="L671" i="14"/>
  <c r="O671" i="14" s="1"/>
  <c r="I671" i="14"/>
  <c r="K671" i="14" s="1"/>
  <c r="J670" i="14"/>
  <c r="J669" i="14"/>
  <c r="N668" i="14"/>
  <c r="L668" i="14"/>
  <c r="O668" i="14" s="1"/>
  <c r="J668" i="14"/>
  <c r="I668" i="14"/>
  <c r="K668" i="14" s="1"/>
  <c r="J667" i="14"/>
  <c r="J666" i="14"/>
  <c r="N665" i="14"/>
  <c r="L665" i="14"/>
  <c r="O665" i="14" s="1"/>
  <c r="J665" i="14"/>
  <c r="I665" i="14"/>
  <c r="K665" i="14" s="1"/>
  <c r="J663" i="14"/>
  <c r="I663" i="14"/>
  <c r="K663" i="14" s="1"/>
  <c r="J662" i="14"/>
  <c r="N661" i="14"/>
  <c r="L661" i="14"/>
  <c r="O661" i="14" s="1"/>
  <c r="J661" i="14"/>
  <c r="J660" i="14"/>
  <c r="J659" i="14"/>
  <c r="J658" i="14"/>
  <c r="J657" i="14"/>
  <c r="J656" i="14"/>
  <c r="J655" i="14"/>
  <c r="J653" i="14"/>
  <c r="J652" i="14"/>
  <c r="N651" i="14"/>
  <c r="L651" i="14"/>
  <c r="O651" i="14" s="1"/>
  <c r="I651" i="14"/>
  <c r="K651" i="14" s="1"/>
  <c r="N650" i="14"/>
  <c r="L650" i="14"/>
  <c r="O650" i="14" s="1"/>
  <c r="J650" i="14"/>
  <c r="I650" i="14"/>
  <c r="K650" i="14" s="1"/>
  <c r="N649" i="14"/>
  <c r="L649" i="14"/>
  <c r="O649" i="14" s="1"/>
  <c r="J649" i="14"/>
  <c r="I649" i="14"/>
  <c r="K649" i="14" s="1"/>
  <c r="N648" i="14"/>
  <c r="L648" i="14"/>
  <c r="O648" i="14" s="1"/>
  <c r="J648" i="14"/>
  <c r="I648" i="14"/>
  <c r="K648" i="14" s="1"/>
  <c r="J647" i="14"/>
  <c r="J646" i="14"/>
  <c r="O639" i="14"/>
  <c r="O637" i="14"/>
  <c r="J635" i="14"/>
  <c r="I635" i="14"/>
  <c r="J634" i="14"/>
  <c r="I634" i="14"/>
  <c r="J633" i="14"/>
  <c r="I633" i="14"/>
  <c r="K633" i="14" s="1"/>
  <c r="J632" i="14"/>
  <c r="I632" i="14"/>
  <c r="K632" i="14" s="1"/>
  <c r="J631" i="14"/>
  <c r="I631" i="14"/>
  <c r="J630" i="14"/>
  <c r="I630" i="14"/>
  <c r="J629" i="14"/>
  <c r="I629" i="14"/>
  <c r="J628" i="14"/>
  <c r="I628" i="14"/>
  <c r="J626" i="14"/>
  <c r="I626" i="14"/>
  <c r="J625" i="14"/>
  <c r="I625" i="14"/>
  <c r="J624" i="14"/>
  <c r="I624" i="14"/>
  <c r="J623" i="14"/>
  <c r="I623" i="14"/>
  <c r="J622" i="14"/>
  <c r="I622" i="14"/>
  <c r="J621" i="14"/>
  <c r="I621" i="14"/>
  <c r="J620" i="14"/>
  <c r="I620" i="14"/>
  <c r="K626" i="14" s="1"/>
  <c r="J619" i="14"/>
  <c r="I619" i="14"/>
  <c r="J618" i="14"/>
  <c r="I618" i="14"/>
  <c r="J617" i="14"/>
  <c r="I617" i="14"/>
  <c r="J616" i="14"/>
  <c r="I616" i="14"/>
  <c r="J615" i="14"/>
  <c r="I615" i="14"/>
  <c r="J614" i="14"/>
  <c r="I614" i="14"/>
  <c r="J613" i="14"/>
  <c r="I613" i="14"/>
  <c r="J612" i="14"/>
  <c r="I612" i="14"/>
  <c r="J611" i="14"/>
  <c r="I611" i="14"/>
  <c r="J610" i="14"/>
  <c r="J609" i="14"/>
  <c r="J608" i="14"/>
  <c r="J607" i="14"/>
  <c r="N605" i="14"/>
  <c r="N604" i="14"/>
  <c r="N603" i="14"/>
  <c r="N602" i="14"/>
  <c r="N601" i="14"/>
  <c r="L601" i="14"/>
  <c r="N600" i="14"/>
  <c r="L600" i="14"/>
  <c r="N599" i="14"/>
  <c r="L599" i="14"/>
  <c r="N598" i="14"/>
  <c r="L598" i="14"/>
  <c r="O598" i="14" s="1"/>
  <c r="N597" i="14"/>
  <c r="L597" i="14"/>
  <c r="J597" i="14"/>
  <c r="I597" i="14"/>
  <c r="J596" i="14"/>
  <c r="I596" i="14"/>
  <c r="K596" i="14" s="1"/>
  <c r="J595" i="14"/>
  <c r="I595" i="14"/>
  <c r="K595" i="14" s="1"/>
  <c r="J594" i="14"/>
  <c r="I594" i="14"/>
  <c r="K594" i="14" s="1"/>
  <c r="J593" i="14"/>
  <c r="I593" i="14"/>
  <c r="K593" i="14" s="1"/>
  <c r="J592" i="14"/>
  <c r="I592" i="14"/>
  <c r="K592" i="14" s="1"/>
  <c r="J591" i="14"/>
  <c r="I591" i="14"/>
  <c r="K591" i="14" s="1"/>
  <c r="J590" i="14"/>
  <c r="I590" i="14"/>
  <c r="K590" i="14" s="1"/>
  <c r="J589" i="14"/>
  <c r="I589" i="14"/>
  <c r="K589" i="14" s="1"/>
  <c r="N588" i="14"/>
  <c r="N587" i="14"/>
  <c r="N586" i="14"/>
  <c r="N585" i="14"/>
  <c r="N584" i="14"/>
  <c r="L584" i="14"/>
  <c r="O584" i="14" s="1"/>
  <c r="N583" i="14"/>
  <c r="L583" i="14"/>
  <c r="O583" i="14" s="1"/>
  <c r="N582" i="14"/>
  <c r="L582" i="14"/>
  <c r="O582" i="14" s="1"/>
  <c r="N581" i="14"/>
  <c r="L581" i="14"/>
  <c r="O581" i="14" s="1"/>
  <c r="N580" i="14"/>
  <c r="L580" i="14"/>
  <c r="O580" i="14" s="1"/>
  <c r="J580" i="14"/>
  <c r="I580" i="14"/>
  <c r="K580" i="14" s="1"/>
  <c r="J579" i="14"/>
  <c r="I579" i="14"/>
  <c r="K579" i="14" s="1"/>
  <c r="J578" i="14"/>
  <c r="I578" i="14"/>
  <c r="K578" i="14" s="1"/>
  <c r="J577" i="14"/>
  <c r="I577" i="14"/>
  <c r="K577" i="14" s="1"/>
  <c r="J576" i="14"/>
  <c r="I576" i="14"/>
  <c r="K576" i="14" s="1"/>
  <c r="J575" i="14"/>
  <c r="I575" i="14"/>
  <c r="K575" i="14" s="1"/>
  <c r="J573" i="14"/>
  <c r="I573" i="14"/>
  <c r="N572" i="14"/>
  <c r="N571" i="14"/>
  <c r="N570" i="14"/>
  <c r="N569" i="14"/>
  <c r="N568" i="14"/>
  <c r="L568" i="14"/>
  <c r="N567" i="14"/>
  <c r="L567" i="14"/>
  <c r="O567" i="14" s="1"/>
  <c r="N566" i="14"/>
  <c r="L566" i="14"/>
  <c r="N565" i="14"/>
  <c r="L565" i="14"/>
  <c r="O565" i="14" s="1"/>
  <c r="N564" i="14"/>
  <c r="L564" i="14"/>
  <c r="J564" i="14"/>
  <c r="I564" i="14"/>
  <c r="J561" i="14"/>
  <c r="I561" i="14"/>
  <c r="K561" i="14" s="1"/>
  <c r="J560" i="14"/>
  <c r="I560" i="14"/>
  <c r="K560" i="14" s="1"/>
  <c r="N559" i="14"/>
  <c r="N558" i="14"/>
  <c r="N557" i="14"/>
  <c r="N556" i="14"/>
  <c r="N555" i="14"/>
  <c r="L555" i="14"/>
  <c r="O555" i="14" s="1"/>
  <c r="N554" i="14"/>
  <c r="L554" i="14"/>
  <c r="O554" i="14" s="1"/>
  <c r="N553" i="14"/>
  <c r="L553" i="14"/>
  <c r="O553" i="14" s="1"/>
  <c r="N552" i="14"/>
  <c r="L552" i="14"/>
  <c r="O552" i="14" s="1"/>
  <c r="N551" i="14"/>
  <c r="L551" i="14"/>
  <c r="O551" i="14" s="1"/>
  <c r="J551" i="14"/>
  <c r="I551" i="14"/>
  <c r="K551" i="14" s="1"/>
  <c r="J550" i="14"/>
  <c r="J549" i="14"/>
  <c r="J548" i="14"/>
  <c r="I548" i="14"/>
  <c r="K548" i="14" s="1"/>
  <c r="J547" i="14"/>
  <c r="I547" i="14"/>
  <c r="J546" i="14"/>
  <c r="J545" i="14"/>
  <c r="J544" i="14"/>
  <c r="J543" i="14"/>
  <c r="N541" i="14"/>
  <c r="N540" i="14"/>
  <c r="N539" i="14"/>
  <c r="N538" i="14"/>
  <c r="N537" i="14"/>
  <c r="L537" i="14"/>
  <c r="N536" i="14"/>
  <c r="L536" i="14"/>
  <c r="O536" i="14" s="1"/>
  <c r="N535" i="14"/>
  <c r="L535" i="14"/>
  <c r="N534" i="14"/>
  <c r="L534" i="14"/>
  <c r="O534" i="14" s="1"/>
  <c r="N533" i="14"/>
  <c r="L533" i="14"/>
  <c r="J533" i="14"/>
  <c r="I533" i="14"/>
  <c r="J532" i="14"/>
  <c r="I532" i="14"/>
  <c r="J531" i="14"/>
  <c r="I531" i="14"/>
  <c r="J530" i="14"/>
  <c r="I530" i="14"/>
  <c r="J529" i="14"/>
  <c r="I529" i="14"/>
  <c r="J528" i="14"/>
  <c r="I528" i="14"/>
  <c r="J527" i="14"/>
  <c r="I527" i="14"/>
  <c r="J526" i="14"/>
  <c r="I526" i="14"/>
  <c r="J525" i="14"/>
  <c r="I525" i="14"/>
  <c r="J524" i="14"/>
  <c r="I524" i="14"/>
  <c r="J523" i="14"/>
  <c r="I523" i="14"/>
  <c r="J522" i="14"/>
  <c r="I522" i="14"/>
  <c r="J521" i="14"/>
  <c r="I521" i="14"/>
  <c r="J520" i="14"/>
  <c r="I520" i="14"/>
  <c r="J519" i="14"/>
  <c r="I519" i="14"/>
  <c r="J518" i="14"/>
  <c r="I518" i="14"/>
  <c r="J517" i="14"/>
  <c r="I517" i="14"/>
  <c r="J516" i="14"/>
  <c r="I516" i="14"/>
  <c r="J515" i="14"/>
  <c r="I515" i="14"/>
  <c r="K515" i="14" s="1"/>
  <c r="J514" i="14"/>
  <c r="I514" i="14"/>
  <c r="K514" i="14" s="1"/>
  <c r="J513" i="14"/>
  <c r="I513" i="14"/>
  <c r="K513" i="14" s="1"/>
  <c r="J512" i="14"/>
  <c r="I512" i="14"/>
  <c r="K512" i="14" s="1"/>
  <c r="J511" i="14"/>
  <c r="I511" i="14"/>
  <c r="K511" i="14" s="1"/>
  <c r="J510" i="14"/>
  <c r="I510" i="14"/>
  <c r="K510" i="14" s="1"/>
  <c r="J509" i="14"/>
  <c r="I509" i="14"/>
  <c r="K509" i="14" s="1"/>
  <c r="J508" i="14"/>
  <c r="I508" i="14"/>
  <c r="K508" i="14" s="1"/>
  <c r="J507" i="14"/>
  <c r="I507" i="14"/>
  <c r="K507" i="14" s="1"/>
  <c r="J506" i="14"/>
  <c r="I506" i="14"/>
  <c r="K506" i="14" s="1"/>
  <c r="J505" i="14"/>
  <c r="I505" i="14"/>
  <c r="K505" i="14" s="1"/>
  <c r="J504" i="14"/>
  <c r="I504" i="14"/>
  <c r="K504" i="14" s="1"/>
  <c r="J503" i="14"/>
  <c r="I503" i="14"/>
  <c r="K503" i="14" s="1"/>
  <c r="J502" i="14"/>
  <c r="I502" i="14"/>
  <c r="K502" i="14" s="1"/>
  <c r="J501" i="14"/>
  <c r="I501" i="14"/>
  <c r="K501" i="14" s="1"/>
  <c r="J500" i="14"/>
  <c r="I500" i="14"/>
  <c r="K500" i="14" s="1"/>
  <c r="J499" i="14"/>
  <c r="I499" i="14"/>
  <c r="K499" i="14" s="1"/>
  <c r="J498" i="14"/>
  <c r="I498" i="14"/>
  <c r="K498" i="14" s="1"/>
  <c r="J497" i="14"/>
  <c r="I497" i="14"/>
  <c r="K497" i="14" s="1"/>
  <c r="J496" i="14"/>
  <c r="I496" i="14"/>
  <c r="K496" i="14" s="1"/>
  <c r="J495" i="14"/>
  <c r="I495" i="14"/>
  <c r="K495" i="14" s="1"/>
  <c r="J494" i="14"/>
  <c r="I494" i="14"/>
  <c r="K494" i="14" s="1"/>
  <c r="J493" i="14"/>
  <c r="I493" i="14"/>
  <c r="K493" i="14" s="1"/>
  <c r="J492" i="14"/>
  <c r="I492" i="14"/>
  <c r="K492" i="14" s="1"/>
  <c r="J491" i="14"/>
  <c r="I491" i="14"/>
  <c r="K491" i="14" s="1"/>
  <c r="J490" i="14"/>
  <c r="I490" i="14"/>
  <c r="K490" i="14" s="1"/>
  <c r="J489" i="14"/>
  <c r="I489" i="14"/>
  <c r="K489" i="14" s="1"/>
  <c r="J488" i="14"/>
  <c r="I488" i="14"/>
  <c r="K488" i="14" s="1"/>
  <c r="J487" i="14"/>
  <c r="I487" i="14"/>
  <c r="K487" i="14" s="1"/>
  <c r="J486" i="14"/>
  <c r="I486" i="14"/>
  <c r="K486" i="14" s="1"/>
  <c r="J485" i="14"/>
  <c r="I485" i="14"/>
  <c r="K485" i="14" s="1"/>
  <c r="J484" i="14"/>
  <c r="I484" i="14"/>
  <c r="K484" i="14" s="1"/>
  <c r="J483" i="14"/>
  <c r="I483" i="14"/>
  <c r="K483" i="14" s="1"/>
  <c r="J482" i="14"/>
  <c r="I482" i="14"/>
  <c r="J481" i="14"/>
  <c r="I481" i="14"/>
  <c r="J480" i="14"/>
  <c r="I480" i="14"/>
  <c r="K480" i="14" s="1"/>
  <c r="J479" i="14"/>
  <c r="I479" i="14"/>
  <c r="K479" i="14" s="1"/>
  <c r="J478" i="14"/>
  <c r="I478" i="14"/>
  <c r="K478" i="14" s="1"/>
  <c r="J477" i="14"/>
  <c r="I477" i="14"/>
  <c r="K477" i="14" s="1"/>
  <c r="J476" i="14"/>
  <c r="I476" i="14"/>
  <c r="K476" i="14" s="1"/>
  <c r="J475" i="14"/>
  <c r="I475" i="14"/>
  <c r="K475" i="14" s="1"/>
  <c r="J474" i="14"/>
  <c r="I474" i="14"/>
  <c r="J473" i="14"/>
  <c r="I473" i="14"/>
  <c r="J472" i="14"/>
  <c r="I472" i="14"/>
  <c r="K472" i="14" s="1"/>
  <c r="J471" i="14"/>
  <c r="I471" i="14"/>
  <c r="K471" i="14" s="1"/>
  <c r="J470" i="14"/>
  <c r="I470" i="14"/>
  <c r="K470" i="14" s="1"/>
  <c r="J469" i="14"/>
  <c r="I469" i="14"/>
  <c r="K469" i="14" s="1"/>
  <c r="J468" i="14"/>
  <c r="I468" i="14"/>
  <c r="K468" i="14" s="1"/>
  <c r="J467" i="14"/>
  <c r="I467" i="14"/>
  <c r="K467" i="14" s="1"/>
  <c r="J466" i="14"/>
  <c r="I466" i="14"/>
  <c r="J465" i="14"/>
  <c r="I465" i="14"/>
  <c r="J464" i="14"/>
  <c r="I464" i="14"/>
  <c r="N463" i="14"/>
  <c r="N462" i="14"/>
  <c r="N461" i="14"/>
  <c r="N460" i="14"/>
  <c r="N459" i="14"/>
  <c r="L459" i="14"/>
  <c r="N458" i="14"/>
  <c r="L458" i="14"/>
  <c r="O458" i="14" s="1"/>
  <c r="N457" i="14"/>
  <c r="L457" i="14"/>
  <c r="N456" i="14"/>
  <c r="L456" i="14"/>
  <c r="O456" i="14" s="1"/>
  <c r="N455" i="14"/>
  <c r="L455" i="14"/>
  <c r="J455" i="14"/>
  <c r="I455" i="14"/>
  <c r="J454" i="14"/>
  <c r="J453" i="14"/>
  <c r="J452" i="14"/>
  <c r="I452" i="14"/>
  <c r="K452" i="14" s="1"/>
  <c r="J451" i="14"/>
  <c r="I451" i="14"/>
  <c r="K451" i="14" s="1"/>
  <c r="J450" i="14"/>
  <c r="I450" i="14"/>
  <c r="J449" i="14"/>
  <c r="I449" i="14"/>
  <c r="J448" i="14"/>
  <c r="J447" i="14"/>
  <c r="J446" i="14"/>
  <c r="J445" i="14"/>
  <c r="N443" i="14"/>
  <c r="N442" i="14"/>
  <c r="N441" i="14"/>
  <c r="N440" i="14"/>
  <c r="N439" i="14"/>
  <c r="L439" i="14"/>
  <c r="N438" i="14"/>
  <c r="L438" i="14"/>
  <c r="O438" i="14" s="1"/>
  <c r="N437" i="14"/>
  <c r="L437" i="14"/>
  <c r="N436" i="14"/>
  <c r="L436" i="14"/>
  <c r="N435" i="14"/>
  <c r="L435" i="14"/>
  <c r="J435" i="14"/>
  <c r="I435" i="14"/>
  <c r="J434" i="14"/>
  <c r="J433" i="14"/>
  <c r="J432" i="14"/>
  <c r="I432" i="14"/>
  <c r="K432" i="14" s="1"/>
  <c r="J431" i="14"/>
  <c r="I431" i="14"/>
  <c r="J430" i="14"/>
  <c r="I430" i="14"/>
  <c r="J429" i="14"/>
  <c r="I429" i="14"/>
  <c r="J428" i="14"/>
  <c r="I428" i="14"/>
  <c r="J427" i="14"/>
  <c r="I427" i="14"/>
  <c r="J426" i="14"/>
  <c r="I426" i="14"/>
  <c r="J425" i="14"/>
  <c r="I425" i="14"/>
  <c r="K425" i="14" s="1"/>
  <c r="J424" i="14"/>
  <c r="I424" i="14"/>
  <c r="K424" i="14" s="1"/>
  <c r="J423" i="14"/>
  <c r="I423" i="14"/>
  <c r="K423" i="14" s="1"/>
  <c r="J422" i="14"/>
  <c r="I422" i="14"/>
  <c r="K422" i="14" s="1"/>
  <c r="J421" i="14"/>
  <c r="I421" i="14"/>
  <c r="K421" i="14" s="1"/>
  <c r="J420" i="14"/>
  <c r="I420" i="14"/>
  <c r="J419" i="14"/>
  <c r="I419" i="14"/>
  <c r="J418" i="14"/>
  <c r="I418" i="14"/>
  <c r="J417" i="14"/>
  <c r="I417" i="14"/>
  <c r="J416" i="14"/>
  <c r="I416" i="14"/>
  <c r="J415" i="14"/>
  <c r="J414" i="14"/>
  <c r="J413" i="14"/>
  <c r="J412" i="14"/>
  <c r="N410" i="14"/>
  <c r="N409" i="14"/>
  <c r="N408" i="14"/>
  <c r="N407" i="14"/>
  <c r="N406" i="14"/>
  <c r="L406" i="14"/>
  <c r="N405" i="14"/>
  <c r="L405" i="14"/>
  <c r="O405" i="14" s="1"/>
  <c r="N404" i="14"/>
  <c r="L404" i="14"/>
  <c r="N403" i="14"/>
  <c r="L403" i="14"/>
  <c r="O403" i="14" s="1"/>
  <c r="J402" i="14"/>
  <c r="I402" i="14"/>
  <c r="N401" i="14"/>
  <c r="L401" i="14"/>
  <c r="J401" i="14"/>
  <c r="I401" i="14"/>
  <c r="J400" i="14"/>
  <c r="J399" i="14"/>
  <c r="J398" i="14"/>
  <c r="I398" i="14"/>
  <c r="J397" i="14"/>
  <c r="I397" i="14"/>
  <c r="J396" i="14"/>
  <c r="I396" i="14"/>
  <c r="J394" i="14"/>
  <c r="J393" i="14"/>
  <c r="J392" i="14"/>
  <c r="J391" i="14"/>
  <c r="N389" i="14"/>
  <c r="N388" i="14"/>
  <c r="N387" i="14"/>
  <c r="N386" i="14"/>
  <c r="N385" i="14"/>
  <c r="L385" i="14"/>
  <c r="N384" i="14"/>
  <c r="L384" i="14"/>
  <c r="O384" i="14" s="1"/>
  <c r="N383" i="14"/>
  <c r="L383" i="14"/>
  <c r="N382" i="14"/>
  <c r="L382" i="14"/>
  <c r="O382" i="14" s="1"/>
  <c r="J381" i="14"/>
  <c r="I381" i="14"/>
  <c r="N380" i="14"/>
  <c r="L380" i="14"/>
  <c r="J380" i="14"/>
  <c r="I380" i="14"/>
  <c r="J379" i="14"/>
  <c r="J378" i="14"/>
  <c r="J377" i="14"/>
  <c r="I377" i="14"/>
  <c r="K377" i="14" s="1"/>
  <c r="J376" i="14"/>
  <c r="I376" i="14"/>
  <c r="K376" i="14" s="1"/>
  <c r="J375" i="14"/>
  <c r="I375" i="14"/>
  <c r="K375" i="14" s="1"/>
  <c r="J374" i="14"/>
  <c r="I374" i="14"/>
  <c r="J373" i="14"/>
  <c r="I373" i="14"/>
  <c r="K373" i="14" s="1"/>
  <c r="J372" i="14"/>
  <c r="I372" i="14"/>
  <c r="K372" i="14" s="1"/>
  <c r="J371" i="14"/>
  <c r="I371" i="14"/>
  <c r="K371" i="14" s="1"/>
  <c r="J370" i="14"/>
  <c r="I370" i="14"/>
  <c r="K370" i="14" s="1"/>
  <c r="J369" i="14"/>
  <c r="I369" i="14"/>
  <c r="K369" i="14" s="1"/>
  <c r="J368" i="14"/>
  <c r="I368" i="14"/>
  <c r="K368" i="14" s="1"/>
  <c r="J367" i="14"/>
  <c r="J366" i="14"/>
  <c r="J365" i="14"/>
  <c r="I365" i="14"/>
  <c r="K365" i="14" s="1"/>
  <c r="J364" i="14"/>
  <c r="J363" i="14"/>
  <c r="J362" i="14"/>
  <c r="J361" i="14"/>
  <c r="J360" i="14"/>
  <c r="N358" i="14"/>
  <c r="N357" i="14"/>
  <c r="N356" i="14"/>
  <c r="N355" i="14"/>
  <c r="N354" i="14"/>
  <c r="L354" i="14"/>
  <c r="O354" i="14" s="1"/>
  <c r="N353" i="14"/>
  <c r="L353" i="14"/>
  <c r="O353" i="14" s="1"/>
  <c r="N352" i="14"/>
  <c r="L352" i="14"/>
  <c r="O352" i="14" s="1"/>
  <c r="N351" i="14"/>
  <c r="L351" i="14"/>
  <c r="O351" i="14" s="1"/>
  <c r="J350" i="14"/>
  <c r="I350" i="14"/>
  <c r="K350" i="14" s="1"/>
  <c r="N349" i="14"/>
  <c r="L349" i="14"/>
  <c r="O349" i="14" s="1"/>
  <c r="J349" i="14"/>
  <c r="I349" i="14"/>
  <c r="K349" i="14" s="1"/>
  <c r="N347" i="14"/>
  <c r="L347" i="14"/>
  <c r="J346" i="14"/>
  <c r="I346" i="14"/>
  <c r="K346" i="14" s="1"/>
  <c r="J345" i="14"/>
  <c r="I345" i="14"/>
  <c r="J344" i="14"/>
  <c r="I344" i="14"/>
  <c r="K344" i="14" s="1"/>
  <c r="J343" i="14"/>
  <c r="I343" i="14"/>
  <c r="J342" i="14"/>
  <c r="I342" i="14"/>
  <c r="K342" i="14" s="1"/>
  <c r="J341" i="14"/>
  <c r="I341" i="14"/>
  <c r="J340" i="14"/>
  <c r="I340" i="14"/>
  <c r="J339" i="14"/>
  <c r="I339" i="14"/>
  <c r="K339" i="14" s="1"/>
  <c r="N337" i="14"/>
  <c r="L337" i="14"/>
  <c r="L335" i="14"/>
  <c r="L334" i="14"/>
  <c r="N333" i="14"/>
  <c r="M333" i="14"/>
  <c r="O332" i="14"/>
  <c r="P330" i="14"/>
  <c r="O330" i="14"/>
  <c r="N330" i="14"/>
  <c r="M330" i="14"/>
  <c r="L330" i="14"/>
  <c r="J328" i="14"/>
  <c r="I328" i="14"/>
  <c r="J326" i="14"/>
  <c r="J325" i="14"/>
  <c r="J324" i="14"/>
  <c r="I324" i="14"/>
  <c r="K324" i="14" s="1"/>
  <c r="J323" i="14"/>
  <c r="J322" i="14"/>
  <c r="J321" i="14"/>
  <c r="J320" i="14"/>
  <c r="N318" i="14"/>
  <c r="L318" i="14"/>
  <c r="L316" i="14"/>
  <c r="L315" i="14"/>
  <c r="N314" i="14"/>
  <c r="M314" i="14"/>
  <c r="P314" i="14" s="1"/>
  <c r="O313" i="14"/>
  <c r="N311" i="14"/>
  <c r="M311" i="14"/>
  <c r="L311" i="14"/>
  <c r="J309" i="14"/>
  <c r="I309" i="14"/>
  <c r="K309" i="14" s="1"/>
  <c r="J308" i="14"/>
  <c r="J307" i="14"/>
  <c r="J306" i="14"/>
  <c r="I306" i="14"/>
  <c r="K306" i="14" s="1"/>
  <c r="J304" i="14"/>
  <c r="I304" i="14"/>
  <c r="K304" i="14" s="1"/>
  <c r="J303" i="14"/>
  <c r="J302" i="14"/>
  <c r="J301" i="14"/>
  <c r="J300" i="14"/>
  <c r="N298" i="14"/>
  <c r="L298" i="14"/>
  <c r="O298" i="14" s="1"/>
  <c r="L296" i="14"/>
  <c r="L295" i="14"/>
  <c r="N294" i="14"/>
  <c r="M294" i="14"/>
  <c r="P294" i="14" s="1"/>
  <c r="O293" i="14"/>
  <c r="P291" i="14"/>
  <c r="N291" i="14"/>
  <c r="M291" i="14"/>
  <c r="L291" i="14"/>
  <c r="J289" i="14"/>
  <c r="I289" i="14"/>
  <c r="K289" i="14" s="1"/>
  <c r="J287" i="14"/>
  <c r="J286" i="14"/>
  <c r="J285" i="14"/>
  <c r="I285" i="14"/>
  <c r="J284" i="14"/>
  <c r="J283" i="14"/>
  <c r="J282" i="14"/>
  <c r="J281" i="14"/>
  <c r="N279" i="14"/>
  <c r="L279" i="14"/>
  <c r="O279" i="14" s="1"/>
  <c r="L277" i="14"/>
  <c r="L276" i="14"/>
  <c r="N275" i="14"/>
  <c r="M275" i="14"/>
  <c r="O274" i="14"/>
  <c r="N272" i="14"/>
  <c r="M272" i="14"/>
  <c r="L272" i="14"/>
  <c r="J270" i="14"/>
  <c r="I270" i="14"/>
  <c r="J269" i="14"/>
  <c r="J268" i="14"/>
  <c r="J267" i="14"/>
  <c r="I267" i="14"/>
  <c r="K267" i="14" s="1"/>
  <c r="J266" i="14"/>
  <c r="I266" i="14"/>
  <c r="K266" i="14" s="1"/>
  <c r="J265" i="14"/>
  <c r="I265" i="14"/>
  <c r="K265" i="14" s="1"/>
  <c r="J264" i="14"/>
  <c r="I264" i="14"/>
  <c r="K264" i="14" s="1"/>
  <c r="J263" i="14"/>
  <c r="J262" i="14"/>
  <c r="J261" i="14"/>
  <c r="J260" i="14"/>
  <c r="N258" i="14"/>
  <c r="L258" i="14"/>
  <c r="O258" i="14" s="1"/>
  <c r="L256" i="14"/>
  <c r="L255" i="14"/>
  <c r="N254" i="14"/>
  <c r="M254" i="14"/>
  <c r="O253" i="14"/>
  <c r="O251" i="14"/>
  <c r="N251" i="14"/>
  <c r="M251" i="14"/>
  <c r="L251" i="14"/>
  <c r="J249" i="14"/>
  <c r="I249" i="14"/>
  <c r="K249" i="14" s="1"/>
  <c r="J246" i="14"/>
  <c r="J245" i="14"/>
  <c r="J244" i="14"/>
  <c r="I244" i="14"/>
  <c r="K244" i="14" s="1"/>
  <c r="J243" i="14"/>
  <c r="J242" i="14"/>
  <c r="J241" i="14"/>
  <c r="J240" i="14"/>
  <c r="J238" i="14"/>
  <c r="I238" i="14"/>
  <c r="K238" i="14" s="1"/>
  <c r="J237" i="14"/>
  <c r="J236" i="14"/>
  <c r="J235" i="14"/>
  <c r="I235" i="14"/>
  <c r="J234" i="14"/>
  <c r="J233" i="14"/>
  <c r="J232" i="14"/>
  <c r="J231" i="14"/>
  <c r="J229" i="14"/>
  <c r="I229" i="14"/>
  <c r="N228" i="14"/>
  <c r="L228" i="14"/>
  <c r="L226" i="14"/>
  <c r="L225" i="14"/>
  <c r="N224" i="14"/>
  <c r="M224" i="14"/>
  <c r="M222" i="14" s="1"/>
  <c r="O223" i="14"/>
  <c r="N221" i="14"/>
  <c r="M221" i="14"/>
  <c r="L221" i="14"/>
  <c r="J219" i="14"/>
  <c r="I219" i="14"/>
  <c r="J218" i="14"/>
  <c r="J217" i="14"/>
  <c r="J216" i="14"/>
  <c r="I216" i="14"/>
  <c r="K216" i="14" s="1"/>
  <c r="J215" i="14"/>
  <c r="I215" i="14"/>
  <c r="K215" i="14" s="1"/>
  <c r="J213" i="14"/>
  <c r="I213" i="14"/>
  <c r="K213" i="14" s="1"/>
  <c r="J212" i="14"/>
  <c r="J211" i="14"/>
  <c r="J210" i="14"/>
  <c r="J209" i="14"/>
  <c r="J204" i="14"/>
  <c r="I204" i="14"/>
  <c r="K204" i="14" s="1"/>
  <c r="J203" i="14"/>
  <c r="J202" i="14"/>
  <c r="J201" i="14"/>
  <c r="I201" i="14"/>
  <c r="K201" i="14" s="1"/>
  <c r="J200" i="14"/>
  <c r="I200" i="14"/>
  <c r="J199" i="14"/>
  <c r="I199" i="14"/>
  <c r="J197" i="14"/>
  <c r="J196" i="14"/>
  <c r="J195" i="14"/>
  <c r="J194" i="14"/>
  <c r="J189" i="14"/>
  <c r="I189" i="14"/>
  <c r="J188" i="14"/>
  <c r="J187" i="14"/>
  <c r="J186" i="14"/>
  <c r="I186" i="14"/>
  <c r="K186" i="14" s="1"/>
  <c r="J185" i="14"/>
  <c r="I185" i="14"/>
  <c r="K185" i="14" s="1"/>
  <c r="J184" i="14"/>
  <c r="J183" i="14"/>
  <c r="J182" i="14"/>
  <c r="J181" i="14"/>
  <c r="J176" i="14"/>
  <c r="I176" i="14"/>
  <c r="K176" i="14" s="1"/>
  <c r="J175" i="14"/>
  <c r="J174" i="14"/>
  <c r="J173" i="14"/>
  <c r="I173" i="14"/>
  <c r="J172" i="14"/>
  <c r="J171" i="14"/>
  <c r="J170" i="14"/>
  <c r="J169" i="14"/>
  <c r="J164" i="14"/>
  <c r="I164" i="14"/>
  <c r="J163" i="14"/>
  <c r="J162" i="14"/>
  <c r="J161" i="14"/>
  <c r="J160" i="14"/>
  <c r="J159" i="14"/>
  <c r="J158" i="14"/>
  <c r="I158" i="14"/>
  <c r="J157" i="14"/>
  <c r="J156" i="14"/>
  <c r="J155" i="14"/>
  <c r="J154" i="14"/>
  <c r="J149" i="14"/>
  <c r="I149" i="14"/>
  <c r="N148" i="14"/>
  <c r="L148" i="14"/>
  <c r="O148" i="14" s="1"/>
  <c r="L146" i="14"/>
  <c r="L145" i="14"/>
  <c r="N144" i="14"/>
  <c r="M144" i="14"/>
  <c r="O143" i="14"/>
  <c r="N141" i="14"/>
  <c r="M141" i="14"/>
  <c r="P141" i="14" s="1"/>
  <c r="L141" i="14"/>
  <c r="J138" i="14"/>
  <c r="I138" i="14"/>
  <c r="K138" i="14" s="1"/>
  <c r="J135" i="14"/>
  <c r="J134" i="14"/>
  <c r="J133" i="14"/>
  <c r="I133" i="14"/>
  <c r="J132" i="14"/>
  <c r="I132" i="14"/>
  <c r="J131" i="14"/>
  <c r="J130" i="14"/>
  <c r="J129" i="14"/>
  <c r="J128" i="14"/>
  <c r="N126" i="14"/>
  <c r="L126" i="14"/>
  <c r="O126" i="14" s="1"/>
  <c r="L124" i="14"/>
  <c r="L123" i="14"/>
  <c r="N122" i="14"/>
  <c r="M122" i="14"/>
  <c r="M120" i="14" s="1"/>
  <c r="O121" i="14"/>
  <c r="P119" i="14"/>
  <c r="N119" i="14"/>
  <c r="M119" i="14"/>
  <c r="L119" i="14"/>
  <c r="O119" i="14" s="1"/>
  <c r="J117" i="14"/>
  <c r="I117" i="14"/>
  <c r="J115" i="14"/>
  <c r="J114" i="14"/>
  <c r="J113" i="14"/>
  <c r="I113" i="14"/>
  <c r="K113" i="14" s="1"/>
  <c r="J112" i="14"/>
  <c r="I112" i="14"/>
  <c r="K112" i="14" s="1"/>
  <c r="J111" i="14"/>
  <c r="I111" i="14"/>
  <c r="K111" i="14" s="1"/>
  <c r="J110" i="14"/>
  <c r="I110" i="14"/>
  <c r="K110" i="14" s="1"/>
  <c r="J109" i="14"/>
  <c r="I109" i="14"/>
  <c r="K109" i="14" s="1"/>
  <c r="J108" i="14"/>
  <c r="I108" i="14"/>
  <c r="K108" i="14" s="1"/>
  <c r="J107" i="14"/>
  <c r="J106" i="14"/>
  <c r="J105" i="14"/>
  <c r="J104" i="14"/>
  <c r="N102" i="14"/>
  <c r="L102" i="14"/>
  <c r="O102" i="14" s="1"/>
  <c r="L100" i="14"/>
  <c r="L99" i="14"/>
  <c r="N98" i="14"/>
  <c r="M98" i="14"/>
  <c r="P98" i="14" s="1"/>
  <c r="O97" i="14"/>
  <c r="P95" i="14"/>
  <c r="O95" i="14"/>
  <c r="N95" i="14"/>
  <c r="M95" i="14"/>
  <c r="L95" i="14"/>
  <c r="J93" i="14"/>
  <c r="I93" i="14"/>
  <c r="K93" i="14" s="1"/>
  <c r="J92" i="14"/>
  <c r="I92" i="14"/>
  <c r="K92" i="14" s="1"/>
  <c r="J90" i="14"/>
  <c r="J89" i="14"/>
  <c r="J88" i="14"/>
  <c r="I88" i="14"/>
  <c r="K88" i="14" s="1"/>
  <c r="J87" i="14"/>
  <c r="I87" i="14"/>
  <c r="K87" i="14" s="1"/>
  <c r="J86" i="14"/>
  <c r="I86" i="14"/>
  <c r="K86" i="14" s="1"/>
  <c r="J85" i="14"/>
  <c r="I85" i="14"/>
  <c r="K85" i="14" s="1"/>
  <c r="J84" i="14"/>
  <c r="I84" i="14"/>
  <c r="K84" i="14" s="1"/>
  <c r="J83" i="14"/>
  <c r="I83" i="14"/>
  <c r="K83" i="14" s="1"/>
  <c r="J82" i="14"/>
  <c r="I82" i="14"/>
  <c r="K82" i="14" s="1"/>
  <c r="J81" i="14"/>
  <c r="I81" i="14"/>
  <c r="K81" i="14" s="1"/>
  <c r="J80" i="14"/>
  <c r="I80" i="14"/>
  <c r="K80" i="14" s="1"/>
  <c r="J79" i="14"/>
  <c r="J78" i="14"/>
  <c r="J77" i="14"/>
  <c r="J76" i="14"/>
  <c r="N74" i="14"/>
  <c r="L74" i="14"/>
  <c r="O74" i="14" s="1"/>
  <c r="L72" i="14"/>
  <c r="L71" i="14"/>
  <c r="N70" i="14"/>
  <c r="M70" i="14"/>
  <c r="O69" i="14"/>
  <c r="P67" i="14"/>
  <c r="O67" i="14"/>
  <c r="N67" i="14"/>
  <c r="M67" i="14"/>
  <c r="L67" i="14"/>
  <c r="J65" i="14"/>
  <c r="I65" i="14"/>
  <c r="K65" i="14" s="1"/>
  <c r="J64" i="14"/>
  <c r="I64" i="14"/>
  <c r="K64" i="14" s="1"/>
  <c r="N61" i="14"/>
  <c r="L61" i="14"/>
  <c r="O61" i="14" s="1"/>
  <c r="L59" i="14"/>
  <c r="L58" i="14"/>
  <c r="N57" i="14"/>
  <c r="M57" i="14"/>
  <c r="P54" i="14"/>
  <c r="O54" i="14"/>
  <c r="N54" i="14"/>
  <c r="M54" i="14"/>
  <c r="L54" i="14"/>
  <c r="N49" i="14"/>
  <c r="L49" i="14"/>
  <c r="L47" i="14"/>
  <c r="L46" i="14"/>
  <c r="N45" i="14"/>
  <c r="M45" i="14"/>
  <c r="M43" i="14" s="1"/>
  <c r="P42" i="14"/>
  <c r="N42" i="14"/>
  <c r="M42" i="14"/>
  <c r="L42" i="14"/>
  <c r="O42" i="14" s="1"/>
  <c r="P36" i="14"/>
  <c r="O36" i="14"/>
  <c r="P35" i="14"/>
  <c r="O35" i="14"/>
  <c r="M34" i="14"/>
  <c r="P34" i="14" s="1"/>
  <c r="P33" i="14"/>
  <c r="M33" i="14"/>
  <c r="P32" i="14"/>
  <c r="M32" i="14"/>
  <c r="P31" i="14"/>
  <c r="M31" i="14"/>
  <c r="M30" i="14"/>
  <c r="P30" i="14" s="1"/>
  <c r="M29" i="14"/>
  <c r="P25" i="14"/>
  <c r="O25" i="14"/>
  <c r="N25" i="14"/>
  <c r="M25" i="14"/>
  <c r="L25" i="14"/>
  <c r="N24" i="14"/>
  <c r="M24" i="14"/>
  <c r="P24" i="14" s="1"/>
  <c r="N23" i="14"/>
  <c r="M23" i="14"/>
  <c r="N21" i="14"/>
  <c r="M21" i="14"/>
  <c r="P21" i="14" s="1"/>
  <c r="L21" i="14"/>
  <c r="O21" i="14" s="1"/>
  <c r="N19" i="14"/>
  <c r="N15" i="14"/>
  <c r="M15" i="14"/>
  <c r="P15" i="14" s="1"/>
  <c r="L15" i="14"/>
  <c r="O15" i="14" s="1"/>
  <c r="M14" i="14"/>
  <c r="P14" i="14" s="1"/>
  <c r="M11" i="14"/>
  <c r="P11" i="14" s="1"/>
  <c r="M9" i="14"/>
  <c r="J677" i="13"/>
  <c r="J676" i="13"/>
  <c r="J675" i="13"/>
  <c r="J674" i="13"/>
  <c r="J673" i="13"/>
  <c r="J672" i="13"/>
  <c r="N671" i="13"/>
  <c r="L671" i="13"/>
  <c r="O671" i="13" s="1"/>
  <c r="I671" i="13"/>
  <c r="K671" i="13" s="1"/>
  <c r="J670" i="13"/>
  <c r="J669" i="13"/>
  <c r="N668" i="13"/>
  <c r="L668" i="13"/>
  <c r="O668" i="13" s="1"/>
  <c r="J668" i="13"/>
  <c r="I668" i="13"/>
  <c r="K668" i="13" s="1"/>
  <c r="J667" i="13"/>
  <c r="J666" i="13"/>
  <c r="N665" i="13"/>
  <c r="L665" i="13"/>
  <c r="J665" i="13"/>
  <c r="I665" i="13"/>
  <c r="K665" i="13" s="1"/>
  <c r="J663" i="13"/>
  <c r="I663" i="13"/>
  <c r="K663" i="13" s="1"/>
  <c r="J662" i="13"/>
  <c r="N661" i="13"/>
  <c r="L661" i="13"/>
  <c r="O661" i="13" s="1"/>
  <c r="J661" i="13"/>
  <c r="J660" i="13"/>
  <c r="J659" i="13"/>
  <c r="J658" i="13"/>
  <c r="J657" i="13"/>
  <c r="J656" i="13"/>
  <c r="J655" i="13"/>
  <c r="J653" i="13"/>
  <c r="J652" i="13"/>
  <c r="N651" i="13"/>
  <c r="L651" i="13"/>
  <c r="O651" i="13" s="1"/>
  <c r="I651" i="13"/>
  <c r="K651" i="13" s="1"/>
  <c r="N650" i="13"/>
  <c r="L650" i="13"/>
  <c r="O650" i="13" s="1"/>
  <c r="J650" i="13"/>
  <c r="I650" i="13"/>
  <c r="K650" i="13" s="1"/>
  <c r="N649" i="13"/>
  <c r="L649" i="13"/>
  <c r="O649" i="13" s="1"/>
  <c r="J649" i="13"/>
  <c r="I649" i="13"/>
  <c r="K649" i="13" s="1"/>
  <c r="N648" i="13"/>
  <c r="L648" i="13"/>
  <c r="O648" i="13" s="1"/>
  <c r="J648" i="13"/>
  <c r="I648" i="13"/>
  <c r="K648" i="13" s="1"/>
  <c r="J647" i="13"/>
  <c r="J646" i="13"/>
  <c r="O639" i="13"/>
  <c r="O637" i="13"/>
  <c r="J635" i="13"/>
  <c r="I635" i="13"/>
  <c r="J634" i="13"/>
  <c r="I634" i="13"/>
  <c r="J633" i="13"/>
  <c r="I633" i="13"/>
  <c r="K633" i="13" s="1"/>
  <c r="J632" i="13"/>
  <c r="I632" i="13"/>
  <c r="K632" i="13" s="1"/>
  <c r="J631" i="13"/>
  <c r="I631" i="13"/>
  <c r="J630" i="13"/>
  <c r="I630" i="13"/>
  <c r="J629" i="13"/>
  <c r="I629" i="13"/>
  <c r="J628" i="13"/>
  <c r="I628" i="13"/>
  <c r="J626" i="13"/>
  <c r="I626" i="13"/>
  <c r="J625" i="13"/>
  <c r="I625" i="13"/>
  <c r="J624" i="13"/>
  <c r="I624" i="13"/>
  <c r="J623" i="13"/>
  <c r="I623" i="13"/>
  <c r="J622" i="13"/>
  <c r="I622" i="13"/>
  <c r="J621" i="13"/>
  <c r="I621" i="13"/>
  <c r="J620" i="13"/>
  <c r="I620" i="13"/>
  <c r="J619" i="13"/>
  <c r="I619" i="13"/>
  <c r="J618" i="13"/>
  <c r="I618" i="13"/>
  <c r="J617" i="13"/>
  <c r="I617" i="13"/>
  <c r="J616" i="13"/>
  <c r="I616" i="13"/>
  <c r="J615" i="13"/>
  <c r="I615" i="13"/>
  <c r="J614" i="13"/>
  <c r="I614" i="13"/>
  <c r="J613" i="13"/>
  <c r="I613" i="13"/>
  <c r="J612" i="13"/>
  <c r="I612" i="13"/>
  <c r="J611" i="13"/>
  <c r="I611" i="13"/>
  <c r="J610" i="13"/>
  <c r="J609" i="13"/>
  <c r="J608" i="13"/>
  <c r="J607" i="13"/>
  <c r="N605" i="13"/>
  <c r="N604" i="13"/>
  <c r="N603" i="13"/>
  <c r="N602" i="13"/>
  <c r="N601" i="13"/>
  <c r="L601" i="13"/>
  <c r="N600" i="13"/>
  <c r="L600" i="13"/>
  <c r="O600" i="13" s="1"/>
  <c r="N599" i="13"/>
  <c r="L599" i="13"/>
  <c r="N598" i="13"/>
  <c r="L598" i="13"/>
  <c r="N597" i="13"/>
  <c r="L597" i="13"/>
  <c r="J597" i="13"/>
  <c r="I597" i="13"/>
  <c r="J596" i="13"/>
  <c r="I596" i="13"/>
  <c r="K596" i="13" s="1"/>
  <c r="J595" i="13"/>
  <c r="I595" i="13"/>
  <c r="J594" i="13"/>
  <c r="I594" i="13"/>
  <c r="K594" i="13" s="1"/>
  <c r="J593" i="13"/>
  <c r="I593" i="13"/>
  <c r="J592" i="13"/>
  <c r="I592" i="13"/>
  <c r="K592" i="13" s="1"/>
  <c r="J591" i="13"/>
  <c r="I591" i="13"/>
  <c r="J590" i="13"/>
  <c r="I590" i="13"/>
  <c r="K590" i="13" s="1"/>
  <c r="J589" i="13"/>
  <c r="I589" i="13"/>
  <c r="N588" i="13"/>
  <c r="N587" i="13"/>
  <c r="N586" i="13"/>
  <c r="N585" i="13"/>
  <c r="N584" i="13"/>
  <c r="L584" i="13"/>
  <c r="N583" i="13"/>
  <c r="L583" i="13"/>
  <c r="O583" i="13" s="1"/>
  <c r="N582" i="13"/>
  <c r="L582" i="13"/>
  <c r="N581" i="13"/>
  <c r="L581" i="13"/>
  <c r="O581" i="13" s="1"/>
  <c r="N580" i="13"/>
  <c r="L580" i="13"/>
  <c r="J580" i="13"/>
  <c r="I580" i="13"/>
  <c r="J579" i="13"/>
  <c r="I579" i="13"/>
  <c r="K579" i="13" s="1"/>
  <c r="J578" i="13"/>
  <c r="I578" i="13"/>
  <c r="K578" i="13" s="1"/>
  <c r="J577" i="13"/>
  <c r="I577" i="13"/>
  <c r="K577" i="13" s="1"/>
  <c r="J576" i="13"/>
  <c r="I576" i="13"/>
  <c r="K576" i="13" s="1"/>
  <c r="J575" i="13"/>
  <c r="I575" i="13"/>
  <c r="K575" i="13" s="1"/>
  <c r="J573" i="13"/>
  <c r="I573" i="13"/>
  <c r="N572" i="13"/>
  <c r="N571" i="13"/>
  <c r="N570" i="13"/>
  <c r="N569" i="13"/>
  <c r="N568" i="13"/>
  <c r="L568" i="13"/>
  <c r="N567" i="13"/>
  <c r="L567" i="13"/>
  <c r="O567" i="13" s="1"/>
  <c r="N566" i="13"/>
  <c r="L566" i="13"/>
  <c r="N565" i="13"/>
  <c r="L565" i="13"/>
  <c r="O565" i="13" s="1"/>
  <c r="N564" i="13"/>
  <c r="L564" i="13"/>
  <c r="J564" i="13"/>
  <c r="I564" i="13"/>
  <c r="J561" i="13"/>
  <c r="I561" i="13"/>
  <c r="K561" i="13" s="1"/>
  <c r="J560" i="13"/>
  <c r="I560" i="13"/>
  <c r="K560" i="13" s="1"/>
  <c r="N559" i="13"/>
  <c r="N558" i="13"/>
  <c r="N557" i="13"/>
  <c r="N556" i="13"/>
  <c r="N555" i="13"/>
  <c r="L555" i="13"/>
  <c r="O555" i="13" s="1"/>
  <c r="N554" i="13"/>
  <c r="L554" i="13"/>
  <c r="O554" i="13" s="1"/>
  <c r="N553" i="13"/>
  <c r="L553" i="13"/>
  <c r="O553" i="13" s="1"/>
  <c r="N552" i="13"/>
  <c r="L552" i="13"/>
  <c r="O552" i="13" s="1"/>
  <c r="N551" i="13"/>
  <c r="L551" i="13"/>
  <c r="O551" i="13" s="1"/>
  <c r="J551" i="13"/>
  <c r="I551" i="13"/>
  <c r="K551" i="13" s="1"/>
  <c r="J550" i="13"/>
  <c r="J549" i="13"/>
  <c r="J548" i="13"/>
  <c r="I548" i="13"/>
  <c r="K548" i="13" s="1"/>
  <c r="J547" i="13"/>
  <c r="I547" i="13"/>
  <c r="J546" i="13"/>
  <c r="J545" i="13"/>
  <c r="J544" i="13"/>
  <c r="J543" i="13"/>
  <c r="N541" i="13"/>
  <c r="N540" i="13"/>
  <c r="N539" i="13"/>
  <c r="N538" i="13"/>
  <c r="N537" i="13"/>
  <c r="L537" i="13"/>
  <c r="N536" i="13"/>
  <c r="L536" i="13"/>
  <c r="O536" i="13" s="1"/>
  <c r="N535" i="13"/>
  <c r="L535" i="13"/>
  <c r="N534" i="13"/>
  <c r="L534" i="13"/>
  <c r="O534" i="13" s="1"/>
  <c r="N533" i="13"/>
  <c r="L533" i="13"/>
  <c r="J533" i="13"/>
  <c r="I533" i="13"/>
  <c r="J532" i="13"/>
  <c r="I532" i="13"/>
  <c r="J531" i="13"/>
  <c r="I531" i="13"/>
  <c r="J530" i="13"/>
  <c r="I530" i="13"/>
  <c r="J529" i="13"/>
  <c r="I529" i="13"/>
  <c r="J528" i="13"/>
  <c r="I528" i="13"/>
  <c r="J527" i="13"/>
  <c r="I527" i="13"/>
  <c r="J526" i="13"/>
  <c r="I526" i="13"/>
  <c r="J525" i="13"/>
  <c r="I525" i="13"/>
  <c r="J524" i="13"/>
  <c r="I524" i="13"/>
  <c r="J523" i="13"/>
  <c r="I523" i="13"/>
  <c r="J522" i="13"/>
  <c r="I522" i="13"/>
  <c r="J521" i="13"/>
  <c r="I521" i="13"/>
  <c r="J520" i="13"/>
  <c r="I520" i="13"/>
  <c r="J519" i="13"/>
  <c r="I519" i="13"/>
  <c r="J518" i="13"/>
  <c r="I518" i="13"/>
  <c r="J517" i="13"/>
  <c r="I517" i="13"/>
  <c r="J516" i="13"/>
  <c r="I516" i="13"/>
  <c r="J515" i="13"/>
  <c r="I515" i="13"/>
  <c r="K515" i="13" s="1"/>
  <c r="J514" i="13"/>
  <c r="I514" i="13"/>
  <c r="K514" i="13" s="1"/>
  <c r="J513" i="13"/>
  <c r="I513" i="13"/>
  <c r="K513" i="13" s="1"/>
  <c r="J512" i="13"/>
  <c r="I512" i="13"/>
  <c r="K512" i="13" s="1"/>
  <c r="J511" i="13"/>
  <c r="I511" i="13"/>
  <c r="K511" i="13" s="1"/>
  <c r="J510" i="13"/>
  <c r="I510" i="13"/>
  <c r="K510" i="13" s="1"/>
  <c r="J509" i="13"/>
  <c r="I509" i="13"/>
  <c r="K509" i="13" s="1"/>
  <c r="J508" i="13"/>
  <c r="I508" i="13"/>
  <c r="K508" i="13" s="1"/>
  <c r="J507" i="13"/>
  <c r="I507" i="13"/>
  <c r="K507" i="13" s="1"/>
  <c r="J506" i="13"/>
  <c r="I506" i="13"/>
  <c r="K506" i="13" s="1"/>
  <c r="J505" i="13"/>
  <c r="I505" i="13"/>
  <c r="K505" i="13" s="1"/>
  <c r="J504" i="13"/>
  <c r="I504" i="13"/>
  <c r="K504" i="13" s="1"/>
  <c r="J503" i="13"/>
  <c r="I503" i="13"/>
  <c r="K503" i="13" s="1"/>
  <c r="J502" i="13"/>
  <c r="I502" i="13"/>
  <c r="K502" i="13" s="1"/>
  <c r="J501" i="13"/>
  <c r="I501" i="13"/>
  <c r="K501" i="13" s="1"/>
  <c r="J500" i="13"/>
  <c r="I500" i="13"/>
  <c r="K500" i="13" s="1"/>
  <c r="J499" i="13"/>
  <c r="I499" i="13"/>
  <c r="J498" i="13"/>
  <c r="I498" i="13"/>
  <c r="J497" i="13"/>
  <c r="I497" i="13"/>
  <c r="J496" i="13"/>
  <c r="I496" i="13"/>
  <c r="K496" i="13" s="1"/>
  <c r="J495" i="13"/>
  <c r="I495" i="13"/>
  <c r="K495" i="13" s="1"/>
  <c r="J494" i="13"/>
  <c r="I494" i="13"/>
  <c r="K494" i="13" s="1"/>
  <c r="J493" i="13"/>
  <c r="I493" i="13"/>
  <c r="K493" i="13" s="1"/>
  <c r="J492" i="13"/>
  <c r="I492" i="13"/>
  <c r="K492" i="13" s="1"/>
  <c r="J491" i="13"/>
  <c r="I491" i="13"/>
  <c r="K491" i="13" s="1"/>
  <c r="J490" i="13"/>
  <c r="I490" i="13"/>
  <c r="K490" i="13" s="1"/>
  <c r="J489" i="13"/>
  <c r="I489" i="13"/>
  <c r="K489" i="13" s="1"/>
  <c r="J488" i="13"/>
  <c r="I488" i="13"/>
  <c r="K488" i="13" s="1"/>
  <c r="J487" i="13"/>
  <c r="I487" i="13"/>
  <c r="K487" i="13" s="1"/>
  <c r="J486" i="13"/>
  <c r="I486" i="13"/>
  <c r="K486" i="13" s="1"/>
  <c r="J485" i="13"/>
  <c r="I485" i="13"/>
  <c r="K485" i="13" s="1"/>
  <c r="J484" i="13"/>
  <c r="I484" i="13"/>
  <c r="K484" i="13" s="1"/>
  <c r="J483" i="13"/>
  <c r="I483" i="13"/>
  <c r="K483" i="13" s="1"/>
  <c r="J482" i="13"/>
  <c r="I482" i="13"/>
  <c r="J481" i="13"/>
  <c r="I481" i="13"/>
  <c r="J480" i="13"/>
  <c r="I480" i="13"/>
  <c r="K480" i="13" s="1"/>
  <c r="J479" i="13"/>
  <c r="I479" i="13"/>
  <c r="K479" i="13" s="1"/>
  <c r="J478" i="13"/>
  <c r="I478" i="13"/>
  <c r="K478" i="13" s="1"/>
  <c r="J477" i="13"/>
  <c r="I477" i="13"/>
  <c r="K477" i="13" s="1"/>
  <c r="J476" i="13"/>
  <c r="I476" i="13"/>
  <c r="K476" i="13" s="1"/>
  <c r="J475" i="13"/>
  <c r="I475" i="13"/>
  <c r="K475" i="13" s="1"/>
  <c r="J474" i="13"/>
  <c r="I474" i="13"/>
  <c r="J473" i="13"/>
  <c r="I473" i="13"/>
  <c r="J472" i="13"/>
  <c r="I472" i="13"/>
  <c r="K472" i="13" s="1"/>
  <c r="J471" i="13"/>
  <c r="I471" i="13"/>
  <c r="K471" i="13" s="1"/>
  <c r="J470" i="13"/>
  <c r="I470" i="13"/>
  <c r="K470" i="13" s="1"/>
  <c r="J469" i="13"/>
  <c r="I469" i="13"/>
  <c r="K469" i="13" s="1"/>
  <c r="J468" i="13"/>
  <c r="I468" i="13"/>
  <c r="K468" i="13" s="1"/>
  <c r="J467" i="13"/>
  <c r="I467" i="13"/>
  <c r="K467" i="13" s="1"/>
  <c r="J466" i="13"/>
  <c r="I466" i="13"/>
  <c r="J465" i="13"/>
  <c r="I465" i="13"/>
  <c r="J464" i="13"/>
  <c r="I464" i="13"/>
  <c r="N463" i="13"/>
  <c r="N462" i="13"/>
  <c r="N461" i="13"/>
  <c r="N460" i="13"/>
  <c r="N459" i="13"/>
  <c r="L459" i="13"/>
  <c r="N458" i="13"/>
  <c r="L458" i="13"/>
  <c r="O458" i="13" s="1"/>
  <c r="N457" i="13"/>
  <c r="L457" i="13"/>
  <c r="N456" i="13"/>
  <c r="L456" i="13"/>
  <c r="O456" i="13" s="1"/>
  <c r="N455" i="13"/>
  <c r="L455" i="13"/>
  <c r="J455" i="13"/>
  <c r="I455" i="13"/>
  <c r="J454" i="13"/>
  <c r="J453" i="13"/>
  <c r="J452" i="13"/>
  <c r="I452" i="13"/>
  <c r="K452" i="13" s="1"/>
  <c r="J451" i="13"/>
  <c r="I451" i="13"/>
  <c r="K451" i="13" s="1"/>
  <c r="J450" i="13"/>
  <c r="I450" i="13"/>
  <c r="J449" i="13"/>
  <c r="I449" i="13"/>
  <c r="J448" i="13"/>
  <c r="J447" i="13"/>
  <c r="J446" i="13"/>
  <c r="J445" i="13"/>
  <c r="N443" i="13"/>
  <c r="N442" i="13"/>
  <c r="N441" i="13"/>
  <c r="N440" i="13"/>
  <c r="N439" i="13"/>
  <c r="L439" i="13"/>
  <c r="N438" i="13"/>
  <c r="L438" i="13"/>
  <c r="O438" i="13" s="1"/>
  <c r="N437" i="13"/>
  <c r="L437" i="13"/>
  <c r="N436" i="13"/>
  <c r="L436" i="13"/>
  <c r="O436" i="13" s="1"/>
  <c r="N435" i="13"/>
  <c r="L435" i="13"/>
  <c r="J435" i="13"/>
  <c r="I435" i="13"/>
  <c r="J434" i="13"/>
  <c r="J433" i="13"/>
  <c r="J432" i="13"/>
  <c r="I432" i="13"/>
  <c r="J431" i="13"/>
  <c r="I431" i="13"/>
  <c r="K431" i="13" s="1"/>
  <c r="J430" i="13"/>
  <c r="I430" i="13"/>
  <c r="J429" i="13"/>
  <c r="I429" i="13"/>
  <c r="J428" i="13"/>
  <c r="I428" i="13"/>
  <c r="J427" i="13"/>
  <c r="I427" i="13"/>
  <c r="J426" i="13"/>
  <c r="I426" i="13"/>
  <c r="J425" i="13"/>
  <c r="I425" i="13"/>
  <c r="J424" i="13"/>
  <c r="I424" i="13"/>
  <c r="J423" i="13"/>
  <c r="I423" i="13"/>
  <c r="J422" i="13"/>
  <c r="I422" i="13"/>
  <c r="J421" i="13"/>
  <c r="I421" i="13"/>
  <c r="J420" i="13"/>
  <c r="I420" i="13"/>
  <c r="K420" i="13" s="1"/>
  <c r="J419" i="13"/>
  <c r="I419" i="13"/>
  <c r="K419" i="13" s="1"/>
  <c r="J418" i="13"/>
  <c r="I418" i="13"/>
  <c r="K418" i="13" s="1"/>
  <c r="J417" i="13"/>
  <c r="I417" i="13"/>
  <c r="K417" i="13" s="1"/>
  <c r="J416" i="13"/>
  <c r="I416" i="13"/>
  <c r="J415" i="13"/>
  <c r="J414" i="13"/>
  <c r="J413" i="13"/>
  <c r="J412" i="13"/>
  <c r="N410" i="13"/>
  <c r="N409" i="13"/>
  <c r="N408" i="13"/>
  <c r="N407" i="13"/>
  <c r="N406" i="13"/>
  <c r="L406" i="13"/>
  <c r="N405" i="13"/>
  <c r="L405" i="13"/>
  <c r="N404" i="13"/>
  <c r="L404" i="13"/>
  <c r="N403" i="13"/>
  <c r="L403" i="13"/>
  <c r="O403" i="13" s="1"/>
  <c r="J402" i="13"/>
  <c r="I402" i="13"/>
  <c r="N401" i="13"/>
  <c r="L401" i="13"/>
  <c r="J401" i="13"/>
  <c r="I401" i="13"/>
  <c r="J400" i="13"/>
  <c r="J399" i="13"/>
  <c r="J398" i="13"/>
  <c r="I398" i="13"/>
  <c r="J397" i="13"/>
  <c r="I397" i="13"/>
  <c r="J396" i="13"/>
  <c r="I396" i="13"/>
  <c r="J394" i="13"/>
  <c r="J393" i="13"/>
  <c r="J392" i="13"/>
  <c r="J391" i="13"/>
  <c r="N389" i="13"/>
  <c r="N388" i="13"/>
  <c r="N387" i="13"/>
  <c r="N386" i="13"/>
  <c r="N385" i="13"/>
  <c r="L385" i="13"/>
  <c r="N384" i="13"/>
  <c r="L384" i="13"/>
  <c r="O384" i="13" s="1"/>
  <c r="N383" i="13"/>
  <c r="L383" i="13"/>
  <c r="N382" i="13"/>
  <c r="L382" i="13"/>
  <c r="O382" i="13" s="1"/>
  <c r="J381" i="13"/>
  <c r="I381" i="13"/>
  <c r="N380" i="13"/>
  <c r="L380" i="13"/>
  <c r="J380" i="13"/>
  <c r="I380" i="13"/>
  <c r="J379" i="13"/>
  <c r="J378" i="13"/>
  <c r="J377" i="13"/>
  <c r="I377" i="13"/>
  <c r="J376" i="13"/>
  <c r="I376" i="13"/>
  <c r="J375" i="13"/>
  <c r="I375" i="13"/>
  <c r="J374" i="13"/>
  <c r="I374" i="13"/>
  <c r="J373" i="13"/>
  <c r="I373" i="13"/>
  <c r="K373" i="13" s="1"/>
  <c r="J372" i="13"/>
  <c r="I372" i="13"/>
  <c r="J371" i="13"/>
  <c r="I371" i="13"/>
  <c r="K371" i="13" s="1"/>
  <c r="J370" i="13"/>
  <c r="I370" i="13"/>
  <c r="J369" i="13"/>
  <c r="I369" i="13"/>
  <c r="K369" i="13" s="1"/>
  <c r="J368" i="13"/>
  <c r="I368" i="13"/>
  <c r="J367" i="13"/>
  <c r="J366" i="13"/>
  <c r="J365" i="13"/>
  <c r="I365" i="13"/>
  <c r="K365" i="13" s="1"/>
  <c r="J364" i="13"/>
  <c r="J363" i="13"/>
  <c r="J362" i="13"/>
  <c r="J361" i="13"/>
  <c r="J360" i="13"/>
  <c r="N358" i="13"/>
  <c r="N357" i="13"/>
  <c r="N356" i="13"/>
  <c r="N355" i="13"/>
  <c r="N354" i="13"/>
  <c r="L354" i="13"/>
  <c r="N353" i="13"/>
  <c r="L353" i="13"/>
  <c r="O353" i="13" s="1"/>
  <c r="N352" i="13"/>
  <c r="L352" i="13"/>
  <c r="N351" i="13"/>
  <c r="L351" i="13"/>
  <c r="O351" i="13" s="1"/>
  <c r="J350" i="13"/>
  <c r="I350" i="13"/>
  <c r="N349" i="13"/>
  <c r="L349" i="13"/>
  <c r="J349" i="13"/>
  <c r="I349" i="13"/>
  <c r="N347" i="13"/>
  <c r="L347" i="13"/>
  <c r="J346" i="13"/>
  <c r="I346" i="13"/>
  <c r="K346" i="13" s="1"/>
  <c r="J345" i="13"/>
  <c r="I345" i="13"/>
  <c r="J344" i="13"/>
  <c r="I344" i="13"/>
  <c r="K344" i="13" s="1"/>
  <c r="J343" i="13"/>
  <c r="I343" i="13"/>
  <c r="J342" i="13"/>
  <c r="I342" i="13"/>
  <c r="K342" i="13" s="1"/>
  <c r="J341" i="13"/>
  <c r="I341" i="13"/>
  <c r="J340" i="13"/>
  <c r="I340" i="13"/>
  <c r="J339" i="13"/>
  <c r="I339" i="13"/>
  <c r="K339" i="13" s="1"/>
  <c r="N337" i="13"/>
  <c r="L337" i="13"/>
  <c r="M337" i="13" s="1"/>
  <c r="L335" i="13"/>
  <c r="L334" i="13"/>
  <c r="N333" i="13"/>
  <c r="M333" i="13"/>
  <c r="O332" i="13"/>
  <c r="N330" i="13"/>
  <c r="M330" i="13"/>
  <c r="P330" i="13" s="1"/>
  <c r="L330" i="13"/>
  <c r="J328" i="13"/>
  <c r="I328" i="13"/>
  <c r="J326" i="13"/>
  <c r="J325" i="13"/>
  <c r="J324" i="13"/>
  <c r="I324" i="13"/>
  <c r="J323" i="13"/>
  <c r="J322" i="13"/>
  <c r="J321" i="13"/>
  <c r="J320" i="13"/>
  <c r="N318" i="13"/>
  <c r="L318" i="13"/>
  <c r="L316" i="13"/>
  <c r="L315" i="13"/>
  <c r="N314" i="13"/>
  <c r="M314" i="13"/>
  <c r="O313" i="13"/>
  <c r="P311" i="13"/>
  <c r="N311" i="13"/>
  <c r="M311" i="13"/>
  <c r="L311" i="13"/>
  <c r="O311" i="13" s="1"/>
  <c r="J309" i="13"/>
  <c r="I309" i="13"/>
  <c r="J308" i="13"/>
  <c r="J307" i="13"/>
  <c r="J306" i="13"/>
  <c r="I306" i="13"/>
  <c r="J304" i="13"/>
  <c r="I304" i="13"/>
  <c r="J303" i="13"/>
  <c r="J302" i="13"/>
  <c r="J301" i="13"/>
  <c r="J300" i="13"/>
  <c r="N298" i="13"/>
  <c r="L298" i="13"/>
  <c r="O298" i="13" s="1"/>
  <c r="L296" i="13"/>
  <c r="L295" i="13"/>
  <c r="N294" i="13"/>
  <c r="M294" i="13"/>
  <c r="O293" i="13"/>
  <c r="P291" i="13"/>
  <c r="O291" i="13"/>
  <c r="N291" i="13"/>
  <c r="M291" i="13"/>
  <c r="L291" i="13"/>
  <c r="J289" i="13"/>
  <c r="I289" i="13"/>
  <c r="J287" i="13"/>
  <c r="J286" i="13"/>
  <c r="J285" i="13"/>
  <c r="I285" i="13"/>
  <c r="J284" i="13"/>
  <c r="J283" i="13"/>
  <c r="J282" i="13"/>
  <c r="J281" i="13"/>
  <c r="N279" i="13"/>
  <c r="L279" i="13"/>
  <c r="O279" i="13" s="1"/>
  <c r="L277" i="13"/>
  <c r="L276" i="13"/>
  <c r="N275" i="13"/>
  <c r="M275" i="13"/>
  <c r="M273" i="13" s="1"/>
  <c r="O274" i="13"/>
  <c r="N272" i="13"/>
  <c r="M272" i="13"/>
  <c r="P272" i="13" s="1"/>
  <c r="L272" i="13"/>
  <c r="J270" i="13"/>
  <c r="I270" i="13"/>
  <c r="J269" i="13"/>
  <c r="J268" i="13"/>
  <c r="J267" i="13"/>
  <c r="I267" i="13"/>
  <c r="K267" i="13" s="1"/>
  <c r="J266" i="13"/>
  <c r="I266" i="13"/>
  <c r="K266" i="13" s="1"/>
  <c r="J265" i="13"/>
  <c r="I265" i="13"/>
  <c r="K265" i="13" s="1"/>
  <c r="J264" i="13"/>
  <c r="I264" i="13"/>
  <c r="K264" i="13" s="1"/>
  <c r="J263" i="13"/>
  <c r="J262" i="13"/>
  <c r="J261" i="13"/>
  <c r="J260" i="13"/>
  <c r="N258" i="13"/>
  <c r="L258" i="13"/>
  <c r="O258" i="13" s="1"/>
  <c r="L256" i="13"/>
  <c r="L255" i="13"/>
  <c r="N254" i="13"/>
  <c r="M254" i="13"/>
  <c r="O253" i="13"/>
  <c r="P251" i="13"/>
  <c r="N251" i="13"/>
  <c r="M251" i="13"/>
  <c r="L251" i="13"/>
  <c r="O251" i="13" s="1"/>
  <c r="J249" i="13"/>
  <c r="I249" i="13"/>
  <c r="K249" i="13" s="1"/>
  <c r="J246" i="13"/>
  <c r="J245" i="13"/>
  <c r="J244" i="13"/>
  <c r="I244" i="13"/>
  <c r="K244" i="13" s="1"/>
  <c r="J243" i="13"/>
  <c r="J242" i="13"/>
  <c r="J241" i="13"/>
  <c r="J240" i="13"/>
  <c r="J238" i="13"/>
  <c r="I238" i="13"/>
  <c r="K238" i="13" s="1"/>
  <c r="J237" i="13"/>
  <c r="J236" i="13"/>
  <c r="J235" i="13"/>
  <c r="I235" i="13"/>
  <c r="J234" i="13"/>
  <c r="J233" i="13"/>
  <c r="J232" i="13"/>
  <c r="J231" i="13"/>
  <c r="J229" i="13"/>
  <c r="I229" i="13"/>
  <c r="N228" i="13"/>
  <c r="L228" i="13"/>
  <c r="O228" i="13" s="1"/>
  <c r="L226" i="13"/>
  <c r="L225" i="13"/>
  <c r="N224" i="13"/>
  <c r="M224" i="13"/>
  <c r="O223" i="13"/>
  <c r="P221" i="13"/>
  <c r="O221" i="13"/>
  <c r="N221" i="13"/>
  <c r="M221" i="13"/>
  <c r="L221" i="13"/>
  <c r="J219" i="13"/>
  <c r="I219" i="13"/>
  <c r="K219" i="13" s="1"/>
  <c r="J218" i="13"/>
  <c r="J217" i="13"/>
  <c r="J216" i="13"/>
  <c r="I216" i="13"/>
  <c r="K216" i="13" s="1"/>
  <c r="J215" i="13"/>
  <c r="I215" i="13"/>
  <c r="K215" i="13" s="1"/>
  <c r="J213" i="13"/>
  <c r="I213" i="13"/>
  <c r="K213" i="13" s="1"/>
  <c r="J212" i="13"/>
  <c r="J211" i="13"/>
  <c r="J210" i="13"/>
  <c r="J209" i="13"/>
  <c r="J204" i="13"/>
  <c r="I204" i="13"/>
  <c r="K204" i="13" s="1"/>
  <c r="J203" i="13"/>
  <c r="J202" i="13"/>
  <c r="J201" i="13"/>
  <c r="I201" i="13"/>
  <c r="K201" i="13" s="1"/>
  <c r="J200" i="13"/>
  <c r="I200" i="13"/>
  <c r="J199" i="13"/>
  <c r="I199" i="13"/>
  <c r="J197" i="13"/>
  <c r="J196" i="13"/>
  <c r="J195" i="13"/>
  <c r="J194" i="13"/>
  <c r="J189" i="13"/>
  <c r="I189" i="13"/>
  <c r="J188" i="13"/>
  <c r="J187" i="13"/>
  <c r="J186" i="13"/>
  <c r="I186" i="13"/>
  <c r="J185" i="13"/>
  <c r="I185" i="13"/>
  <c r="J184" i="13"/>
  <c r="J183" i="13"/>
  <c r="J182" i="13"/>
  <c r="J181" i="13"/>
  <c r="J176" i="13"/>
  <c r="I176" i="13"/>
  <c r="J175" i="13"/>
  <c r="J174" i="13"/>
  <c r="J173" i="13"/>
  <c r="I173" i="13"/>
  <c r="J172" i="13"/>
  <c r="J171" i="13"/>
  <c r="J170" i="13"/>
  <c r="J169" i="13"/>
  <c r="J164" i="13"/>
  <c r="I164" i="13"/>
  <c r="J163" i="13"/>
  <c r="J162" i="13"/>
  <c r="J161" i="13"/>
  <c r="J160" i="13"/>
  <c r="J159" i="13"/>
  <c r="J158" i="13"/>
  <c r="I158" i="13"/>
  <c r="J157" i="13"/>
  <c r="J156" i="13"/>
  <c r="J155" i="13"/>
  <c r="J154" i="13"/>
  <c r="J149" i="13"/>
  <c r="I149" i="13"/>
  <c r="N148" i="13"/>
  <c r="L148" i="13"/>
  <c r="L146" i="13"/>
  <c r="L145" i="13"/>
  <c r="N144" i="13"/>
  <c r="M144" i="13"/>
  <c r="M142" i="13" s="1"/>
  <c r="M140" i="13" s="1"/>
  <c r="O143" i="13"/>
  <c r="O141" i="13"/>
  <c r="N141" i="13"/>
  <c r="M141" i="13"/>
  <c r="P141" i="13" s="1"/>
  <c r="L141" i="13"/>
  <c r="J138" i="13"/>
  <c r="I138" i="13"/>
  <c r="K138" i="13" s="1"/>
  <c r="J135" i="13"/>
  <c r="J134" i="13"/>
  <c r="J133" i="13"/>
  <c r="I133" i="13"/>
  <c r="J132" i="13"/>
  <c r="I132" i="13"/>
  <c r="J131" i="13"/>
  <c r="J130" i="13"/>
  <c r="J129" i="13"/>
  <c r="J128" i="13"/>
  <c r="N126" i="13"/>
  <c r="L126" i="13"/>
  <c r="O126" i="13" s="1"/>
  <c r="L124" i="13"/>
  <c r="L123" i="13"/>
  <c r="N122" i="13"/>
  <c r="M122" i="13"/>
  <c r="M120" i="13" s="1"/>
  <c r="O121" i="13"/>
  <c r="N119" i="13"/>
  <c r="M119" i="13"/>
  <c r="L119" i="13"/>
  <c r="O119" i="13" s="1"/>
  <c r="J117" i="13"/>
  <c r="I117" i="13"/>
  <c r="J115" i="13"/>
  <c r="J114" i="13"/>
  <c r="J113" i="13"/>
  <c r="I113" i="13"/>
  <c r="K113" i="13" s="1"/>
  <c r="J112" i="13"/>
  <c r="I112" i="13"/>
  <c r="K112" i="13" s="1"/>
  <c r="J111" i="13"/>
  <c r="I111" i="13"/>
  <c r="K111" i="13" s="1"/>
  <c r="J110" i="13"/>
  <c r="I110" i="13"/>
  <c r="K110" i="13" s="1"/>
  <c r="J109" i="13"/>
  <c r="I109" i="13"/>
  <c r="K109" i="13" s="1"/>
  <c r="J108" i="13"/>
  <c r="I108" i="13"/>
  <c r="K108" i="13" s="1"/>
  <c r="J107" i="13"/>
  <c r="J106" i="13"/>
  <c r="J105" i="13"/>
  <c r="J104" i="13"/>
  <c r="N102" i="13"/>
  <c r="L102" i="13"/>
  <c r="L100" i="13"/>
  <c r="L99" i="13"/>
  <c r="N98" i="13"/>
  <c r="M98" i="13"/>
  <c r="P98" i="13" s="1"/>
  <c r="O97" i="13"/>
  <c r="N95" i="13"/>
  <c r="M95" i="13"/>
  <c r="L95" i="13"/>
  <c r="O95" i="13" s="1"/>
  <c r="J93" i="13"/>
  <c r="I93" i="13"/>
  <c r="K93" i="13" s="1"/>
  <c r="J92" i="13"/>
  <c r="I92" i="13"/>
  <c r="K92" i="13" s="1"/>
  <c r="J90" i="13"/>
  <c r="J89" i="13"/>
  <c r="J88" i="13"/>
  <c r="I88" i="13"/>
  <c r="K88" i="13" s="1"/>
  <c r="J87" i="13"/>
  <c r="I87" i="13"/>
  <c r="K87" i="13" s="1"/>
  <c r="J86" i="13"/>
  <c r="I86" i="13"/>
  <c r="K86" i="13" s="1"/>
  <c r="J85" i="13"/>
  <c r="I85" i="13"/>
  <c r="K85" i="13" s="1"/>
  <c r="J84" i="13"/>
  <c r="I84" i="13"/>
  <c r="K84" i="13" s="1"/>
  <c r="J83" i="13"/>
  <c r="I83" i="13"/>
  <c r="K83" i="13" s="1"/>
  <c r="J82" i="13"/>
  <c r="I82" i="13"/>
  <c r="K82" i="13" s="1"/>
  <c r="J81" i="13"/>
  <c r="I81" i="13"/>
  <c r="K81" i="13" s="1"/>
  <c r="J80" i="13"/>
  <c r="I80" i="13"/>
  <c r="K80" i="13" s="1"/>
  <c r="J79" i="13"/>
  <c r="J78" i="13"/>
  <c r="J77" i="13"/>
  <c r="J76" i="13"/>
  <c r="N74" i="13"/>
  <c r="L74" i="13"/>
  <c r="L72" i="13"/>
  <c r="L71" i="13"/>
  <c r="N70" i="13"/>
  <c r="M70" i="13"/>
  <c r="M68" i="13" s="1"/>
  <c r="O69" i="13"/>
  <c r="N67" i="13"/>
  <c r="M67" i="13"/>
  <c r="P67" i="13" s="1"/>
  <c r="L67" i="13"/>
  <c r="J65" i="13"/>
  <c r="I65" i="13"/>
  <c r="K65" i="13" s="1"/>
  <c r="J64" i="13"/>
  <c r="I64" i="13"/>
  <c r="K64" i="13" s="1"/>
  <c r="N61" i="13"/>
  <c r="L61" i="13"/>
  <c r="O61" i="13" s="1"/>
  <c r="L59" i="13"/>
  <c r="L58" i="13"/>
  <c r="N57" i="13"/>
  <c r="M57" i="13"/>
  <c r="M55" i="13" s="1"/>
  <c r="N54" i="13"/>
  <c r="M54" i="13"/>
  <c r="L54" i="13"/>
  <c r="O54" i="13" s="1"/>
  <c r="N49" i="13"/>
  <c r="L49" i="13"/>
  <c r="O49" i="13" s="1"/>
  <c r="L47" i="13"/>
  <c r="L46" i="13"/>
  <c r="N45" i="13"/>
  <c r="M45" i="13"/>
  <c r="M43" i="13" s="1"/>
  <c r="M41" i="13" s="1"/>
  <c r="O42" i="13"/>
  <c r="N42" i="13"/>
  <c r="M42" i="13"/>
  <c r="P42" i="13" s="1"/>
  <c r="L42" i="13"/>
  <c r="P36" i="13"/>
  <c r="O36" i="13"/>
  <c r="P35" i="13"/>
  <c r="O35" i="13"/>
  <c r="P34" i="13"/>
  <c r="M34" i="13"/>
  <c r="M33" i="13"/>
  <c r="P33" i="13" s="1"/>
  <c r="M32" i="13"/>
  <c r="M31" i="13"/>
  <c r="P31" i="13" s="1"/>
  <c r="N25" i="13"/>
  <c r="M25" i="13"/>
  <c r="M19" i="13" s="1"/>
  <c r="L25" i="13"/>
  <c r="O25" i="13" s="1"/>
  <c r="N24" i="13"/>
  <c r="M24" i="13"/>
  <c r="P24" i="13" s="1"/>
  <c r="P23" i="13"/>
  <c r="N23" i="13"/>
  <c r="M23" i="13"/>
  <c r="P21" i="13"/>
  <c r="O21" i="13"/>
  <c r="N21" i="13"/>
  <c r="N19" i="13" s="1"/>
  <c r="M21" i="13"/>
  <c r="L21" i="13"/>
  <c r="L19" i="13"/>
  <c r="O19" i="13" s="1"/>
  <c r="N15" i="13"/>
  <c r="L15" i="13"/>
  <c r="O15" i="13" s="1"/>
  <c r="P14" i="13"/>
  <c r="M14" i="13"/>
  <c r="P13" i="13"/>
  <c r="M13" i="13"/>
  <c r="M11" i="13"/>
  <c r="P11" i="13" s="1"/>
  <c r="J677" i="12"/>
  <c r="J676" i="12"/>
  <c r="J675" i="12"/>
  <c r="J674" i="12"/>
  <c r="J673" i="12"/>
  <c r="J672" i="12"/>
  <c r="N671" i="12"/>
  <c r="L671" i="12"/>
  <c r="O671" i="12" s="1"/>
  <c r="I671" i="12"/>
  <c r="K671" i="12" s="1"/>
  <c r="J670" i="12"/>
  <c r="J669" i="12"/>
  <c r="N668" i="12"/>
  <c r="L668" i="12"/>
  <c r="O668" i="12" s="1"/>
  <c r="J668" i="12"/>
  <c r="I668" i="12"/>
  <c r="K668" i="12" s="1"/>
  <c r="J667" i="12"/>
  <c r="J666" i="12"/>
  <c r="N665" i="12"/>
  <c r="L665" i="12"/>
  <c r="J665" i="12"/>
  <c r="I665" i="12"/>
  <c r="K665" i="12" s="1"/>
  <c r="J663" i="12"/>
  <c r="I663" i="12"/>
  <c r="K663" i="12" s="1"/>
  <c r="J662" i="12"/>
  <c r="N661" i="12"/>
  <c r="L661" i="12"/>
  <c r="O661" i="12" s="1"/>
  <c r="J661" i="12"/>
  <c r="J660" i="12"/>
  <c r="J659" i="12"/>
  <c r="J658" i="12"/>
  <c r="J657" i="12"/>
  <c r="J656" i="12"/>
  <c r="J655" i="12"/>
  <c r="J653" i="12"/>
  <c r="J652" i="12"/>
  <c r="N651" i="12"/>
  <c r="L651" i="12"/>
  <c r="O651" i="12" s="1"/>
  <c r="I651" i="12"/>
  <c r="K651" i="12" s="1"/>
  <c r="N650" i="12"/>
  <c r="L650" i="12"/>
  <c r="O650" i="12" s="1"/>
  <c r="J650" i="12"/>
  <c r="I650" i="12"/>
  <c r="K650" i="12" s="1"/>
  <c r="N649" i="12"/>
  <c r="L649" i="12"/>
  <c r="O649" i="12" s="1"/>
  <c r="J649" i="12"/>
  <c r="I649" i="12"/>
  <c r="K649" i="12" s="1"/>
  <c r="N648" i="12"/>
  <c r="L648" i="12"/>
  <c r="O648" i="12" s="1"/>
  <c r="J648" i="12"/>
  <c r="I648" i="12"/>
  <c r="K648" i="12" s="1"/>
  <c r="J647" i="12"/>
  <c r="J646" i="12"/>
  <c r="O639" i="12"/>
  <c r="O637" i="12"/>
  <c r="J635" i="12"/>
  <c r="I635" i="12"/>
  <c r="J634" i="12"/>
  <c r="I634" i="12"/>
  <c r="J633" i="12"/>
  <c r="I633" i="12"/>
  <c r="K633" i="12" s="1"/>
  <c r="J632" i="12"/>
  <c r="I632" i="12"/>
  <c r="K632" i="12" s="1"/>
  <c r="J631" i="12"/>
  <c r="I631" i="12"/>
  <c r="J630" i="12"/>
  <c r="I630" i="12"/>
  <c r="J629" i="12"/>
  <c r="I629" i="12"/>
  <c r="J628" i="12"/>
  <c r="I628" i="12"/>
  <c r="J626" i="12"/>
  <c r="I626" i="12"/>
  <c r="J625" i="12"/>
  <c r="I625" i="12"/>
  <c r="J624" i="12"/>
  <c r="I624" i="12"/>
  <c r="J623" i="12"/>
  <c r="I623" i="12"/>
  <c r="J622" i="12"/>
  <c r="I622" i="12"/>
  <c r="J621" i="12"/>
  <c r="I621" i="12"/>
  <c r="J620" i="12"/>
  <c r="I620" i="12"/>
  <c r="J619" i="12"/>
  <c r="I619" i="12"/>
  <c r="J618" i="12"/>
  <c r="I618" i="12"/>
  <c r="J617" i="12"/>
  <c r="I617" i="12"/>
  <c r="J616" i="12"/>
  <c r="I616" i="12"/>
  <c r="J615" i="12"/>
  <c r="I615" i="12"/>
  <c r="J614" i="12"/>
  <c r="I614" i="12"/>
  <c r="J613" i="12"/>
  <c r="I613" i="12"/>
  <c r="J612" i="12"/>
  <c r="I612" i="12"/>
  <c r="J611" i="12"/>
  <c r="I611" i="12"/>
  <c r="J610" i="12"/>
  <c r="J609" i="12"/>
  <c r="J608" i="12"/>
  <c r="J607" i="12"/>
  <c r="N605" i="12"/>
  <c r="N604" i="12"/>
  <c r="N603" i="12"/>
  <c r="N602" i="12"/>
  <c r="N601" i="12"/>
  <c r="L601" i="12"/>
  <c r="N600" i="12"/>
  <c r="L600" i="12"/>
  <c r="O600" i="12" s="1"/>
  <c r="N599" i="12"/>
  <c r="L599" i="12"/>
  <c r="N598" i="12"/>
  <c r="L598" i="12"/>
  <c r="O598" i="12" s="1"/>
  <c r="N597" i="12"/>
  <c r="L597" i="12"/>
  <c r="J597" i="12"/>
  <c r="I597" i="12"/>
  <c r="J596" i="12"/>
  <c r="I596" i="12"/>
  <c r="K596" i="12" s="1"/>
  <c r="J595" i="12"/>
  <c r="I595" i="12"/>
  <c r="K595" i="12" s="1"/>
  <c r="J594" i="12"/>
  <c r="I594" i="12"/>
  <c r="K594" i="12" s="1"/>
  <c r="J593" i="12"/>
  <c r="I593" i="12"/>
  <c r="K593" i="12" s="1"/>
  <c r="J592" i="12"/>
  <c r="I592" i="12"/>
  <c r="K592" i="12" s="1"/>
  <c r="J591" i="12"/>
  <c r="I591" i="12"/>
  <c r="K591" i="12" s="1"/>
  <c r="J590" i="12"/>
  <c r="I590" i="12"/>
  <c r="K590" i="12" s="1"/>
  <c r="J589" i="12"/>
  <c r="I589" i="12"/>
  <c r="K589" i="12" s="1"/>
  <c r="N588" i="12"/>
  <c r="N587" i="12"/>
  <c r="N586" i="12"/>
  <c r="N585" i="12"/>
  <c r="N584" i="12"/>
  <c r="L584" i="12"/>
  <c r="N583" i="12"/>
  <c r="L583" i="12"/>
  <c r="O583" i="12" s="1"/>
  <c r="N582" i="12"/>
  <c r="L582" i="12"/>
  <c r="O582" i="12" s="1"/>
  <c r="N581" i="12"/>
  <c r="L581" i="12"/>
  <c r="O581" i="12" s="1"/>
  <c r="N580" i="12"/>
  <c r="L580" i="12"/>
  <c r="O580" i="12" s="1"/>
  <c r="J580" i="12"/>
  <c r="I580" i="12"/>
  <c r="K580" i="12" s="1"/>
  <c r="J579" i="12"/>
  <c r="I579" i="12"/>
  <c r="K579" i="12" s="1"/>
  <c r="J578" i="12"/>
  <c r="I578" i="12"/>
  <c r="K578" i="12" s="1"/>
  <c r="J577" i="12"/>
  <c r="I577" i="12"/>
  <c r="K577" i="12" s="1"/>
  <c r="J576" i="12"/>
  <c r="I576" i="12"/>
  <c r="K576" i="12" s="1"/>
  <c r="J575" i="12"/>
  <c r="I575" i="12"/>
  <c r="K575" i="12" s="1"/>
  <c r="J573" i="12"/>
  <c r="I573" i="12"/>
  <c r="N572" i="12"/>
  <c r="N571" i="12"/>
  <c r="N570" i="12"/>
  <c r="N569" i="12"/>
  <c r="N568" i="12"/>
  <c r="L568" i="12"/>
  <c r="N567" i="12"/>
  <c r="L567" i="12"/>
  <c r="O567" i="12" s="1"/>
  <c r="N566" i="12"/>
  <c r="L566" i="12"/>
  <c r="N565" i="12"/>
  <c r="L565" i="12"/>
  <c r="O565" i="12" s="1"/>
  <c r="N564" i="12"/>
  <c r="L564" i="12"/>
  <c r="J564" i="12"/>
  <c r="I564" i="12"/>
  <c r="J561" i="12"/>
  <c r="I561" i="12"/>
  <c r="K561" i="12" s="1"/>
  <c r="J560" i="12"/>
  <c r="I560" i="12"/>
  <c r="K560" i="12" s="1"/>
  <c r="N559" i="12"/>
  <c r="N558" i="12"/>
  <c r="N557" i="12"/>
  <c r="N556" i="12"/>
  <c r="N555" i="12"/>
  <c r="L555" i="12"/>
  <c r="O555" i="12" s="1"/>
  <c r="N554" i="12"/>
  <c r="L554" i="12"/>
  <c r="O554" i="12" s="1"/>
  <c r="N553" i="12"/>
  <c r="L553" i="12"/>
  <c r="O553" i="12" s="1"/>
  <c r="N552" i="12"/>
  <c r="L552" i="12"/>
  <c r="O552" i="12" s="1"/>
  <c r="N551" i="12"/>
  <c r="L551" i="12"/>
  <c r="O551" i="12" s="1"/>
  <c r="J551" i="12"/>
  <c r="I551" i="12"/>
  <c r="K551" i="12" s="1"/>
  <c r="J550" i="12"/>
  <c r="J549" i="12"/>
  <c r="J548" i="12"/>
  <c r="I548" i="12"/>
  <c r="K548" i="12" s="1"/>
  <c r="J547" i="12"/>
  <c r="I547" i="12"/>
  <c r="J546" i="12"/>
  <c r="J545" i="12"/>
  <c r="J544" i="12"/>
  <c r="J543" i="12"/>
  <c r="N541" i="12"/>
  <c r="N540" i="12"/>
  <c r="N539" i="12"/>
  <c r="N538" i="12"/>
  <c r="N537" i="12"/>
  <c r="L537" i="12"/>
  <c r="N536" i="12"/>
  <c r="L536" i="12"/>
  <c r="O536" i="12" s="1"/>
  <c r="N535" i="12"/>
  <c r="L535" i="12"/>
  <c r="N534" i="12"/>
  <c r="L534" i="12"/>
  <c r="O534" i="12" s="1"/>
  <c r="N533" i="12"/>
  <c r="L533" i="12"/>
  <c r="J533" i="12"/>
  <c r="I533" i="12"/>
  <c r="J532" i="12"/>
  <c r="I532" i="12"/>
  <c r="J531" i="12"/>
  <c r="I531" i="12"/>
  <c r="J530" i="12"/>
  <c r="I530" i="12"/>
  <c r="J529" i="12"/>
  <c r="I529" i="12"/>
  <c r="J528" i="12"/>
  <c r="I528" i="12"/>
  <c r="J527" i="12"/>
  <c r="I527" i="12"/>
  <c r="J526" i="12"/>
  <c r="I526" i="12"/>
  <c r="J525" i="12"/>
  <c r="I525" i="12"/>
  <c r="J524" i="12"/>
  <c r="I524" i="12"/>
  <c r="J523" i="12"/>
  <c r="I523" i="12"/>
  <c r="J522" i="12"/>
  <c r="I522" i="12"/>
  <c r="J521" i="12"/>
  <c r="I521" i="12"/>
  <c r="J520" i="12"/>
  <c r="I520" i="12"/>
  <c r="J519" i="12"/>
  <c r="I519" i="12"/>
  <c r="J518" i="12"/>
  <c r="I518" i="12"/>
  <c r="J517" i="12"/>
  <c r="I517" i="12"/>
  <c r="J516" i="12"/>
  <c r="I516" i="12"/>
  <c r="J515" i="12"/>
  <c r="I515" i="12"/>
  <c r="K515" i="12" s="1"/>
  <c r="J514" i="12"/>
  <c r="I514" i="12"/>
  <c r="K514" i="12" s="1"/>
  <c r="J513" i="12"/>
  <c r="I513" i="12"/>
  <c r="K513" i="12" s="1"/>
  <c r="J512" i="12"/>
  <c r="I512" i="12"/>
  <c r="K512" i="12" s="1"/>
  <c r="J511" i="12"/>
  <c r="I511" i="12"/>
  <c r="K511" i="12" s="1"/>
  <c r="J510" i="12"/>
  <c r="I510" i="12"/>
  <c r="K510" i="12" s="1"/>
  <c r="J509" i="12"/>
  <c r="I509" i="12"/>
  <c r="K509" i="12" s="1"/>
  <c r="J508" i="12"/>
  <c r="I508" i="12"/>
  <c r="K508" i="12" s="1"/>
  <c r="J507" i="12"/>
  <c r="I507" i="12"/>
  <c r="K507" i="12" s="1"/>
  <c r="J506" i="12"/>
  <c r="I506" i="12"/>
  <c r="K506" i="12" s="1"/>
  <c r="J505" i="12"/>
  <c r="I505" i="12"/>
  <c r="K505" i="12" s="1"/>
  <c r="J504" i="12"/>
  <c r="I504" i="12"/>
  <c r="K504" i="12" s="1"/>
  <c r="J503" i="12"/>
  <c r="I503" i="12"/>
  <c r="K503" i="12" s="1"/>
  <c r="J502" i="12"/>
  <c r="I502" i="12"/>
  <c r="K502" i="12" s="1"/>
  <c r="J501" i="12"/>
  <c r="I501" i="12"/>
  <c r="K501" i="12" s="1"/>
  <c r="J500" i="12"/>
  <c r="I500" i="12"/>
  <c r="K500" i="12" s="1"/>
  <c r="J499" i="12"/>
  <c r="I499" i="12"/>
  <c r="J498" i="12"/>
  <c r="I498" i="12"/>
  <c r="J497" i="12"/>
  <c r="I497" i="12"/>
  <c r="J496" i="12"/>
  <c r="I496" i="12"/>
  <c r="K496" i="12" s="1"/>
  <c r="J495" i="12"/>
  <c r="I495" i="12"/>
  <c r="K495" i="12" s="1"/>
  <c r="J494" i="12"/>
  <c r="I494" i="12"/>
  <c r="K494" i="12" s="1"/>
  <c r="J493" i="12"/>
  <c r="I493" i="12"/>
  <c r="K493" i="12" s="1"/>
  <c r="J492" i="12"/>
  <c r="I492" i="12"/>
  <c r="K492" i="12" s="1"/>
  <c r="J491" i="12"/>
  <c r="I491" i="12"/>
  <c r="K491" i="12" s="1"/>
  <c r="J490" i="12"/>
  <c r="I490" i="12"/>
  <c r="K490" i="12" s="1"/>
  <c r="J489" i="12"/>
  <c r="I489" i="12"/>
  <c r="K489" i="12" s="1"/>
  <c r="J488" i="12"/>
  <c r="I488" i="12"/>
  <c r="K488" i="12" s="1"/>
  <c r="J487" i="12"/>
  <c r="I487" i="12"/>
  <c r="K487" i="12" s="1"/>
  <c r="J486" i="12"/>
  <c r="I486" i="12"/>
  <c r="K486" i="12" s="1"/>
  <c r="J485" i="12"/>
  <c r="I485" i="12"/>
  <c r="K485" i="12" s="1"/>
  <c r="J484" i="12"/>
  <c r="I484" i="12"/>
  <c r="K484" i="12" s="1"/>
  <c r="J483" i="12"/>
  <c r="I483" i="12"/>
  <c r="K483" i="12" s="1"/>
  <c r="J482" i="12"/>
  <c r="I482" i="12"/>
  <c r="K482" i="12" s="1"/>
  <c r="J481" i="12"/>
  <c r="I481" i="12"/>
  <c r="K481" i="12" s="1"/>
  <c r="J480" i="12"/>
  <c r="I480" i="12"/>
  <c r="K480" i="12" s="1"/>
  <c r="J479" i="12"/>
  <c r="I479" i="12"/>
  <c r="K479" i="12" s="1"/>
  <c r="J478" i="12"/>
  <c r="I478" i="12"/>
  <c r="K478" i="12" s="1"/>
  <c r="J477" i="12"/>
  <c r="I477" i="12"/>
  <c r="K477" i="12" s="1"/>
  <c r="J476" i="12"/>
  <c r="I476" i="12"/>
  <c r="K476" i="12" s="1"/>
  <c r="J475" i="12"/>
  <c r="I475" i="12"/>
  <c r="K475" i="12" s="1"/>
  <c r="J474" i="12"/>
  <c r="I474" i="12"/>
  <c r="K474" i="12" s="1"/>
  <c r="J473" i="12"/>
  <c r="I473" i="12"/>
  <c r="K473" i="12" s="1"/>
  <c r="J472" i="12"/>
  <c r="I472" i="12"/>
  <c r="K472" i="12" s="1"/>
  <c r="J471" i="12"/>
  <c r="I471" i="12"/>
  <c r="K471" i="12" s="1"/>
  <c r="J470" i="12"/>
  <c r="I470" i="12"/>
  <c r="K470" i="12" s="1"/>
  <c r="J469" i="12"/>
  <c r="I469" i="12"/>
  <c r="K469" i="12" s="1"/>
  <c r="J468" i="12"/>
  <c r="I468" i="12"/>
  <c r="K468" i="12" s="1"/>
  <c r="J467" i="12"/>
  <c r="I467" i="12"/>
  <c r="K467" i="12" s="1"/>
  <c r="J466" i="12"/>
  <c r="I466" i="12"/>
  <c r="K466" i="12" s="1"/>
  <c r="J465" i="12"/>
  <c r="I465" i="12"/>
  <c r="K465" i="12" s="1"/>
  <c r="J464" i="12"/>
  <c r="I464" i="12"/>
  <c r="K464" i="12" s="1"/>
  <c r="N463" i="12"/>
  <c r="N462" i="12"/>
  <c r="N461" i="12"/>
  <c r="N460" i="12"/>
  <c r="N459" i="12"/>
  <c r="L459" i="12"/>
  <c r="N458" i="12"/>
  <c r="L458" i="12"/>
  <c r="O458" i="12" s="1"/>
  <c r="N457" i="12"/>
  <c r="L457" i="12"/>
  <c r="N456" i="12"/>
  <c r="L456" i="12"/>
  <c r="O456" i="12" s="1"/>
  <c r="N455" i="12"/>
  <c r="L455" i="12"/>
  <c r="J455" i="12"/>
  <c r="I455" i="12"/>
  <c r="K455" i="12" s="1"/>
  <c r="J454" i="12"/>
  <c r="J453" i="12"/>
  <c r="J452" i="12"/>
  <c r="I452" i="12"/>
  <c r="K452" i="12" s="1"/>
  <c r="J451" i="12"/>
  <c r="I451" i="12"/>
  <c r="K451" i="12" s="1"/>
  <c r="J450" i="12"/>
  <c r="I450" i="12"/>
  <c r="J449" i="12"/>
  <c r="I449" i="12"/>
  <c r="J448" i="12"/>
  <c r="J447" i="12"/>
  <c r="J446" i="12"/>
  <c r="J445" i="12"/>
  <c r="N443" i="12"/>
  <c r="N442" i="12"/>
  <c r="N441" i="12"/>
  <c r="N440" i="12"/>
  <c r="N439" i="12"/>
  <c r="L439" i="12"/>
  <c r="N438" i="12"/>
  <c r="L438" i="12"/>
  <c r="O438" i="12" s="1"/>
  <c r="N437" i="12"/>
  <c r="L437" i="12"/>
  <c r="N436" i="12"/>
  <c r="L436" i="12"/>
  <c r="N435" i="12"/>
  <c r="L435" i="12"/>
  <c r="J435" i="12"/>
  <c r="I435" i="12"/>
  <c r="J434" i="12"/>
  <c r="J433" i="12"/>
  <c r="J432" i="12"/>
  <c r="I432" i="12"/>
  <c r="J431" i="12"/>
  <c r="I431" i="12"/>
  <c r="J430" i="12"/>
  <c r="I430" i="12"/>
  <c r="J429" i="12"/>
  <c r="I429" i="12"/>
  <c r="J428" i="12"/>
  <c r="I428" i="12"/>
  <c r="J427" i="12"/>
  <c r="I427" i="12"/>
  <c r="J426" i="12"/>
  <c r="I426" i="12"/>
  <c r="J425" i="12"/>
  <c r="I425" i="12"/>
  <c r="J424" i="12"/>
  <c r="I424" i="12"/>
  <c r="J423" i="12"/>
  <c r="I423" i="12"/>
  <c r="J422" i="12"/>
  <c r="I422" i="12"/>
  <c r="J421" i="12"/>
  <c r="I421" i="12"/>
  <c r="J420" i="12"/>
  <c r="I420" i="12"/>
  <c r="J419" i="12"/>
  <c r="I419" i="12"/>
  <c r="J418" i="12"/>
  <c r="I418" i="12"/>
  <c r="J417" i="12"/>
  <c r="I417" i="12"/>
  <c r="J416" i="12"/>
  <c r="I416" i="12"/>
  <c r="J415" i="12"/>
  <c r="J414" i="12"/>
  <c r="J413" i="12"/>
  <c r="J412" i="12"/>
  <c r="N410" i="12"/>
  <c r="N409" i="12"/>
  <c r="N408" i="12"/>
  <c r="N407" i="12"/>
  <c r="N406" i="12"/>
  <c r="L406" i="12"/>
  <c r="N405" i="12"/>
  <c r="L405" i="12"/>
  <c r="O405" i="12" s="1"/>
  <c r="N404" i="12"/>
  <c r="L404" i="12"/>
  <c r="N403" i="12"/>
  <c r="L403" i="12"/>
  <c r="O403" i="12" s="1"/>
  <c r="J402" i="12"/>
  <c r="I402" i="12"/>
  <c r="N401" i="12"/>
  <c r="L401" i="12"/>
  <c r="J401" i="12"/>
  <c r="I401" i="12"/>
  <c r="J400" i="12"/>
  <c r="J399" i="12"/>
  <c r="J398" i="12"/>
  <c r="I398" i="12"/>
  <c r="J397" i="12"/>
  <c r="I397" i="12"/>
  <c r="J396" i="12"/>
  <c r="I396" i="12"/>
  <c r="J394" i="12"/>
  <c r="J393" i="12"/>
  <c r="J392" i="12"/>
  <c r="J391" i="12"/>
  <c r="N389" i="12"/>
  <c r="N388" i="12"/>
  <c r="N387" i="12"/>
  <c r="N386" i="12"/>
  <c r="N385" i="12"/>
  <c r="L385" i="12"/>
  <c r="N384" i="12"/>
  <c r="L384" i="12"/>
  <c r="O384" i="12" s="1"/>
  <c r="N383" i="12"/>
  <c r="L383" i="12"/>
  <c r="N382" i="12"/>
  <c r="L382" i="12"/>
  <c r="O382" i="12" s="1"/>
  <c r="J381" i="12"/>
  <c r="I381" i="12"/>
  <c r="N380" i="12"/>
  <c r="L380" i="12"/>
  <c r="J380" i="12"/>
  <c r="I380" i="12"/>
  <c r="J379" i="12"/>
  <c r="J378" i="12"/>
  <c r="J377" i="12"/>
  <c r="I377" i="12"/>
  <c r="J376" i="12"/>
  <c r="I376" i="12"/>
  <c r="K376" i="12" s="1"/>
  <c r="J375" i="12"/>
  <c r="I375" i="12"/>
  <c r="J374" i="12"/>
  <c r="I374" i="12"/>
  <c r="J373" i="12"/>
  <c r="I373" i="12"/>
  <c r="K373" i="12" s="1"/>
  <c r="J372" i="12"/>
  <c r="I372" i="12"/>
  <c r="J371" i="12"/>
  <c r="I371" i="12"/>
  <c r="K371" i="12" s="1"/>
  <c r="J370" i="12"/>
  <c r="I370" i="12"/>
  <c r="J369" i="12"/>
  <c r="I369" i="12"/>
  <c r="K369" i="12" s="1"/>
  <c r="J368" i="12"/>
  <c r="I368" i="12"/>
  <c r="J367" i="12"/>
  <c r="J366" i="12"/>
  <c r="J365" i="12"/>
  <c r="I365" i="12"/>
  <c r="K365" i="12" s="1"/>
  <c r="J364" i="12"/>
  <c r="J363" i="12"/>
  <c r="J362" i="12"/>
  <c r="J361" i="12"/>
  <c r="J360" i="12"/>
  <c r="N358" i="12"/>
  <c r="N357" i="12"/>
  <c r="N356" i="12"/>
  <c r="N355" i="12"/>
  <c r="N354" i="12"/>
  <c r="L354" i="12"/>
  <c r="N353" i="12"/>
  <c r="L353" i="12"/>
  <c r="O353" i="12" s="1"/>
  <c r="N352" i="12"/>
  <c r="L352" i="12"/>
  <c r="N351" i="12"/>
  <c r="L351" i="12"/>
  <c r="O351" i="12" s="1"/>
  <c r="J350" i="12"/>
  <c r="I350" i="12"/>
  <c r="N349" i="12"/>
  <c r="L349" i="12"/>
  <c r="J349" i="12"/>
  <c r="I349" i="12"/>
  <c r="N347" i="12"/>
  <c r="L347" i="12"/>
  <c r="J346" i="12"/>
  <c r="I346" i="12"/>
  <c r="K346" i="12" s="1"/>
  <c r="J345" i="12"/>
  <c r="I345" i="12"/>
  <c r="J344" i="12"/>
  <c r="I344" i="12"/>
  <c r="K344" i="12" s="1"/>
  <c r="J343" i="12"/>
  <c r="I343" i="12"/>
  <c r="J342" i="12"/>
  <c r="I342" i="12"/>
  <c r="K342" i="12" s="1"/>
  <c r="J341" i="12"/>
  <c r="I341" i="12"/>
  <c r="J340" i="12"/>
  <c r="I340" i="12"/>
  <c r="J339" i="12"/>
  <c r="I339" i="12"/>
  <c r="K339" i="12" s="1"/>
  <c r="N337" i="12"/>
  <c r="L337" i="12"/>
  <c r="O337" i="12" s="1"/>
  <c r="L335" i="12"/>
  <c r="L334" i="12"/>
  <c r="N333" i="12"/>
  <c r="M333" i="12"/>
  <c r="O332" i="12"/>
  <c r="P330" i="12"/>
  <c r="O330" i="12"/>
  <c r="N330" i="12"/>
  <c r="M330" i="12"/>
  <c r="L330" i="12"/>
  <c r="J328" i="12"/>
  <c r="I328" i="12"/>
  <c r="J326" i="12"/>
  <c r="J325" i="12"/>
  <c r="J324" i="12"/>
  <c r="I324" i="12"/>
  <c r="K324" i="12" s="1"/>
  <c r="J323" i="12"/>
  <c r="J322" i="12"/>
  <c r="J321" i="12"/>
  <c r="J320" i="12"/>
  <c r="N318" i="12"/>
  <c r="L318" i="12"/>
  <c r="L316" i="12"/>
  <c r="L315" i="12"/>
  <c r="N314" i="12"/>
  <c r="M314" i="12"/>
  <c r="P314" i="12" s="1"/>
  <c r="O313" i="12"/>
  <c r="P311" i="12"/>
  <c r="N311" i="12"/>
  <c r="M311" i="12"/>
  <c r="L311" i="12"/>
  <c r="J309" i="12"/>
  <c r="I309" i="12"/>
  <c r="K309" i="12" s="1"/>
  <c r="J308" i="12"/>
  <c r="J307" i="12"/>
  <c r="J306" i="12"/>
  <c r="I306" i="12"/>
  <c r="K306" i="12" s="1"/>
  <c r="J304" i="12"/>
  <c r="I304" i="12"/>
  <c r="K304" i="12" s="1"/>
  <c r="J303" i="12"/>
  <c r="J302" i="12"/>
  <c r="J301" i="12"/>
  <c r="J300" i="12"/>
  <c r="N298" i="12"/>
  <c r="L298" i="12"/>
  <c r="O298" i="12" s="1"/>
  <c r="L296" i="12"/>
  <c r="L295" i="12"/>
  <c r="N294" i="12"/>
  <c r="M294" i="12"/>
  <c r="O293" i="12"/>
  <c r="P291" i="12"/>
  <c r="O291" i="12"/>
  <c r="N291" i="12"/>
  <c r="M291" i="12"/>
  <c r="L291" i="12"/>
  <c r="J289" i="12"/>
  <c r="I289" i="12"/>
  <c r="K289" i="12" s="1"/>
  <c r="J287" i="12"/>
  <c r="J286" i="12"/>
  <c r="J285" i="12"/>
  <c r="I285" i="12"/>
  <c r="K285" i="12" s="1"/>
  <c r="J284" i="12"/>
  <c r="J283" i="12"/>
  <c r="J282" i="12"/>
  <c r="J281" i="12"/>
  <c r="N279" i="12"/>
  <c r="L279" i="12"/>
  <c r="O279" i="12" s="1"/>
  <c r="L277" i="12"/>
  <c r="L276" i="12"/>
  <c r="N275" i="12"/>
  <c r="M275" i="12"/>
  <c r="O274" i="12"/>
  <c r="N272" i="12"/>
  <c r="M272" i="12"/>
  <c r="L272" i="12"/>
  <c r="O272" i="12" s="1"/>
  <c r="J270" i="12"/>
  <c r="I270" i="12"/>
  <c r="K270" i="12" s="1"/>
  <c r="J269" i="12"/>
  <c r="J268" i="12"/>
  <c r="J267" i="12"/>
  <c r="I267" i="12"/>
  <c r="K267" i="12" s="1"/>
  <c r="J266" i="12"/>
  <c r="I266" i="12"/>
  <c r="K266" i="12" s="1"/>
  <c r="J265" i="12"/>
  <c r="I265" i="12"/>
  <c r="K265" i="12" s="1"/>
  <c r="J264" i="12"/>
  <c r="I264" i="12"/>
  <c r="K264" i="12" s="1"/>
  <c r="J263" i="12"/>
  <c r="J262" i="12"/>
  <c r="J261" i="12"/>
  <c r="J260" i="12"/>
  <c r="N258" i="12"/>
  <c r="L258" i="12"/>
  <c r="O258" i="12" s="1"/>
  <c r="L256" i="12"/>
  <c r="L255" i="12"/>
  <c r="N254" i="12"/>
  <c r="M254" i="12"/>
  <c r="O253" i="12"/>
  <c r="P251" i="12"/>
  <c r="N251" i="12"/>
  <c r="M251" i="12"/>
  <c r="L251" i="12"/>
  <c r="J249" i="12"/>
  <c r="I249" i="12"/>
  <c r="K249" i="12" s="1"/>
  <c r="J246" i="12"/>
  <c r="J245" i="12"/>
  <c r="J244" i="12"/>
  <c r="I244" i="12"/>
  <c r="K244" i="12" s="1"/>
  <c r="J243" i="12"/>
  <c r="J242" i="12"/>
  <c r="J241" i="12"/>
  <c r="J240" i="12"/>
  <c r="J238" i="12"/>
  <c r="I238" i="12"/>
  <c r="K238" i="12" s="1"/>
  <c r="J237" i="12"/>
  <c r="J236" i="12"/>
  <c r="J235" i="12"/>
  <c r="I235" i="12"/>
  <c r="J234" i="12"/>
  <c r="J233" i="12"/>
  <c r="J232" i="12"/>
  <c r="J231" i="12"/>
  <c r="J229" i="12"/>
  <c r="I229" i="12"/>
  <c r="N228" i="12"/>
  <c r="L228" i="12"/>
  <c r="O228" i="12" s="1"/>
  <c r="L226" i="12"/>
  <c r="L225" i="12"/>
  <c r="N224" i="12"/>
  <c r="M224" i="12"/>
  <c r="M222" i="12" s="1"/>
  <c r="O223" i="12"/>
  <c r="P221" i="12"/>
  <c r="O221" i="12"/>
  <c r="N221" i="12"/>
  <c r="M221" i="12"/>
  <c r="L221" i="12"/>
  <c r="J219" i="12"/>
  <c r="I219" i="12"/>
  <c r="J218" i="12"/>
  <c r="J217" i="12"/>
  <c r="J216" i="12"/>
  <c r="I216" i="12"/>
  <c r="K216" i="12" s="1"/>
  <c r="J215" i="12"/>
  <c r="I215" i="12"/>
  <c r="K215" i="12" s="1"/>
  <c r="J213" i="12"/>
  <c r="I213" i="12"/>
  <c r="K213" i="12" s="1"/>
  <c r="J212" i="12"/>
  <c r="J211" i="12"/>
  <c r="J210" i="12"/>
  <c r="J209" i="12"/>
  <c r="J204" i="12"/>
  <c r="I204" i="12"/>
  <c r="K204" i="12" s="1"/>
  <c r="J203" i="12"/>
  <c r="J202" i="12"/>
  <c r="J201" i="12"/>
  <c r="I201" i="12"/>
  <c r="K201" i="12" s="1"/>
  <c r="J200" i="12"/>
  <c r="I200" i="12"/>
  <c r="J199" i="12"/>
  <c r="I199" i="12"/>
  <c r="J197" i="12"/>
  <c r="J196" i="12"/>
  <c r="J195" i="12"/>
  <c r="J194" i="12"/>
  <c r="J189" i="12"/>
  <c r="I189" i="12"/>
  <c r="J188" i="12"/>
  <c r="J187" i="12"/>
  <c r="J186" i="12"/>
  <c r="I186" i="12"/>
  <c r="K186" i="12" s="1"/>
  <c r="J185" i="12"/>
  <c r="I185" i="12"/>
  <c r="K185" i="12" s="1"/>
  <c r="J184" i="12"/>
  <c r="J183" i="12"/>
  <c r="J182" i="12"/>
  <c r="J181" i="12"/>
  <c r="J176" i="12"/>
  <c r="I176" i="12"/>
  <c r="K176" i="12" s="1"/>
  <c r="J175" i="12"/>
  <c r="J174" i="12"/>
  <c r="J173" i="12"/>
  <c r="I173" i="12"/>
  <c r="J172" i="12"/>
  <c r="J171" i="12"/>
  <c r="J170" i="12"/>
  <c r="J169" i="12"/>
  <c r="J164" i="12"/>
  <c r="I164" i="12"/>
  <c r="J163" i="12"/>
  <c r="J162" i="12"/>
  <c r="J161" i="12"/>
  <c r="J160" i="12"/>
  <c r="J159" i="12"/>
  <c r="J158" i="12"/>
  <c r="I158" i="12"/>
  <c r="J157" i="12"/>
  <c r="J156" i="12"/>
  <c r="J155" i="12"/>
  <c r="J154" i="12"/>
  <c r="J149" i="12"/>
  <c r="I149" i="12"/>
  <c r="N148" i="12"/>
  <c r="L148" i="12"/>
  <c r="O148" i="12" s="1"/>
  <c r="L146" i="12"/>
  <c r="L145" i="12"/>
  <c r="N144" i="12"/>
  <c r="M144" i="12"/>
  <c r="O143" i="12"/>
  <c r="P141" i="12"/>
  <c r="O141" i="12"/>
  <c r="N141" i="12"/>
  <c r="M141" i="12"/>
  <c r="L141" i="12"/>
  <c r="J138" i="12"/>
  <c r="I138" i="12"/>
  <c r="K138" i="12" s="1"/>
  <c r="J135" i="12"/>
  <c r="J134" i="12"/>
  <c r="J133" i="12"/>
  <c r="I133" i="12"/>
  <c r="K133" i="12" s="1"/>
  <c r="J132" i="12"/>
  <c r="I132" i="12"/>
  <c r="K132" i="12" s="1"/>
  <c r="J131" i="12"/>
  <c r="J130" i="12"/>
  <c r="J129" i="12"/>
  <c r="J128" i="12"/>
  <c r="N126" i="12"/>
  <c r="L126" i="12"/>
  <c r="O126" i="12" s="1"/>
  <c r="L124" i="12"/>
  <c r="L123" i="12"/>
  <c r="N122" i="12"/>
  <c r="M122" i="12"/>
  <c r="O121" i="12"/>
  <c r="O119" i="12"/>
  <c r="N119" i="12"/>
  <c r="M119" i="12"/>
  <c r="P119" i="12" s="1"/>
  <c r="L119" i="12"/>
  <c r="J117" i="12"/>
  <c r="I117" i="12"/>
  <c r="K117" i="12" s="1"/>
  <c r="J115" i="12"/>
  <c r="J114" i="12"/>
  <c r="J113" i="12"/>
  <c r="I113" i="12"/>
  <c r="J112" i="12"/>
  <c r="I112" i="12"/>
  <c r="J111" i="12"/>
  <c r="I111" i="12"/>
  <c r="J110" i="12"/>
  <c r="I110" i="12"/>
  <c r="J109" i="12"/>
  <c r="I109" i="12"/>
  <c r="J108" i="12"/>
  <c r="I108" i="12"/>
  <c r="J107" i="12"/>
  <c r="J106" i="12"/>
  <c r="J105" i="12"/>
  <c r="J104" i="12"/>
  <c r="N102" i="12"/>
  <c r="L102" i="12"/>
  <c r="L100" i="12"/>
  <c r="L99" i="12"/>
  <c r="N98" i="12"/>
  <c r="M98" i="12"/>
  <c r="O97" i="12"/>
  <c r="P95" i="12"/>
  <c r="O95" i="12"/>
  <c r="N95" i="12"/>
  <c r="M95" i="12"/>
  <c r="L95" i="12"/>
  <c r="J93" i="12"/>
  <c r="I93" i="12"/>
  <c r="J92" i="12"/>
  <c r="I92" i="12"/>
  <c r="J90" i="12"/>
  <c r="J89" i="12"/>
  <c r="J88" i="12"/>
  <c r="I88" i="12"/>
  <c r="K88" i="12" s="1"/>
  <c r="J87" i="12"/>
  <c r="I87" i="12"/>
  <c r="K87" i="12" s="1"/>
  <c r="J86" i="12"/>
  <c r="I86" i="12"/>
  <c r="K86" i="12" s="1"/>
  <c r="J85" i="12"/>
  <c r="I85" i="12"/>
  <c r="K85" i="12" s="1"/>
  <c r="J84" i="12"/>
  <c r="I84" i="12"/>
  <c r="K84" i="12" s="1"/>
  <c r="J83" i="12"/>
  <c r="I83" i="12"/>
  <c r="K83" i="12" s="1"/>
  <c r="J82" i="12"/>
  <c r="I82" i="12"/>
  <c r="K82" i="12" s="1"/>
  <c r="J81" i="12"/>
  <c r="I81" i="12"/>
  <c r="K81" i="12" s="1"/>
  <c r="J80" i="12"/>
  <c r="I80" i="12"/>
  <c r="K80" i="12" s="1"/>
  <c r="J79" i="12"/>
  <c r="J78" i="12"/>
  <c r="J77" i="12"/>
  <c r="J76" i="12"/>
  <c r="N74" i="12"/>
  <c r="L74" i="12"/>
  <c r="O74" i="12" s="1"/>
  <c r="L72" i="12"/>
  <c r="L71" i="12"/>
  <c r="N70" i="12"/>
  <c r="M70" i="12"/>
  <c r="O69" i="12"/>
  <c r="O67" i="12"/>
  <c r="N67" i="12"/>
  <c r="M67" i="12"/>
  <c r="P67" i="12" s="1"/>
  <c r="L67" i="12"/>
  <c r="J65" i="12"/>
  <c r="I65" i="12"/>
  <c r="K65" i="12" s="1"/>
  <c r="J64" i="12"/>
  <c r="I64" i="12"/>
  <c r="K64" i="12" s="1"/>
  <c r="N61" i="12"/>
  <c r="L61" i="12"/>
  <c r="O61" i="12" s="1"/>
  <c r="L59" i="12"/>
  <c r="L58" i="12"/>
  <c r="N57" i="12"/>
  <c r="M57" i="12"/>
  <c r="P54" i="12"/>
  <c r="O54" i="12"/>
  <c r="N54" i="12"/>
  <c r="M54" i="12"/>
  <c r="L54" i="12"/>
  <c r="N49" i="12"/>
  <c r="L49" i="12"/>
  <c r="M49" i="12" s="1"/>
  <c r="L47" i="12"/>
  <c r="L46" i="12"/>
  <c r="N45" i="12"/>
  <c r="M45" i="12"/>
  <c r="N42" i="12"/>
  <c r="M42" i="12"/>
  <c r="L42" i="12"/>
  <c r="O42" i="12" s="1"/>
  <c r="P36" i="12"/>
  <c r="O36" i="12"/>
  <c r="P35" i="12"/>
  <c r="O35" i="12"/>
  <c r="M34" i="12"/>
  <c r="P34" i="12" s="1"/>
  <c r="M33" i="12"/>
  <c r="P33" i="12" s="1"/>
  <c r="P32" i="12"/>
  <c r="M32" i="12"/>
  <c r="M30" i="12" s="1"/>
  <c r="P30" i="12" s="1"/>
  <c r="P31" i="12"/>
  <c r="M31" i="12"/>
  <c r="P29" i="12"/>
  <c r="M29" i="12"/>
  <c r="M28" i="12" s="1"/>
  <c r="P28" i="12" s="1"/>
  <c r="N25" i="12"/>
  <c r="M25" i="12"/>
  <c r="P25" i="12" s="1"/>
  <c r="L25" i="12"/>
  <c r="P24" i="12"/>
  <c r="N24" i="12"/>
  <c r="M24" i="12"/>
  <c r="P23" i="12"/>
  <c r="N23" i="12"/>
  <c r="M23" i="12"/>
  <c r="N21" i="12"/>
  <c r="M21" i="12"/>
  <c r="P21" i="12" s="1"/>
  <c r="L21" i="12"/>
  <c r="O21" i="12" s="1"/>
  <c r="N15" i="12"/>
  <c r="M15" i="12"/>
  <c r="P15" i="12" s="1"/>
  <c r="M14" i="12"/>
  <c r="P14" i="12" s="1"/>
  <c r="M13" i="12"/>
  <c r="P13" i="12" s="1"/>
  <c r="J677" i="11"/>
  <c r="J676" i="11"/>
  <c r="J675" i="11"/>
  <c r="J674" i="11"/>
  <c r="J673" i="11"/>
  <c r="J672" i="11"/>
  <c r="N671" i="11"/>
  <c r="L671" i="11"/>
  <c r="O671" i="11" s="1"/>
  <c r="I671" i="11"/>
  <c r="K671" i="11" s="1"/>
  <c r="J670" i="11"/>
  <c r="J669" i="11"/>
  <c r="N668" i="11"/>
  <c r="L668" i="11"/>
  <c r="O668" i="11" s="1"/>
  <c r="J668" i="11"/>
  <c r="I668" i="11"/>
  <c r="K668" i="11" s="1"/>
  <c r="J667" i="11"/>
  <c r="J666" i="11"/>
  <c r="N665" i="11"/>
  <c r="L665" i="11"/>
  <c r="O665" i="11" s="1"/>
  <c r="J665" i="11"/>
  <c r="I665" i="11"/>
  <c r="K665" i="11" s="1"/>
  <c r="J663" i="11"/>
  <c r="I663" i="11"/>
  <c r="K663" i="11" s="1"/>
  <c r="J662" i="11"/>
  <c r="N661" i="11"/>
  <c r="L661" i="11"/>
  <c r="O661" i="11" s="1"/>
  <c r="J661" i="11"/>
  <c r="J660" i="11"/>
  <c r="J659" i="11"/>
  <c r="J658" i="11"/>
  <c r="J657" i="11"/>
  <c r="J656" i="11"/>
  <c r="J655" i="11"/>
  <c r="J653" i="11"/>
  <c r="J652" i="11"/>
  <c r="N651" i="11"/>
  <c r="L651" i="11"/>
  <c r="O651" i="11" s="1"/>
  <c r="I651" i="11"/>
  <c r="K651" i="11" s="1"/>
  <c r="N650" i="11"/>
  <c r="L650" i="11"/>
  <c r="O650" i="11" s="1"/>
  <c r="J650" i="11"/>
  <c r="I650" i="11"/>
  <c r="K650" i="11" s="1"/>
  <c r="N649" i="11"/>
  <c r="L649" i="11"/>
  <c r="O649" i="11" s="1"/>
  <c r="J649" i="11"/>
  <c r="I649" i="11"/>
  <c r="K649" i="11" s="1"/>
  <c r="N648" i="11"/>
  <c r="L648" i="11"/>
  <c r="J648" i="11"/>
  <c r="I648" i="11"/>
  <c r="K648" i="11" s="1"/>
  <c r="J647" i="11"/>
  <c r="J646" i="11"/>
  <c r="O639" i="11"/>
  <c r="O637" i="11"/>
  <c r="J635" i="11"/>
  <c r="I635" i="11"/>
  <c r="K635" i="11" s="1"/>
  <c r="J634" i="11"/>
  <c r="I634" i="11"/>
  <c r="J633" i="11"/>
  <c r="I633" i="11"/>
  <c r="J632" i="11"/>
  <c r="I632" i="11"/>
  <c r="J631" i="11"/>
  <c r="I631" i="11"/>
  <c r="J630" i="11"/>
  <c r="I630" i="11"/>
  <c r="J629" i="11"/>
  <c r="I629" i="11"/>
  <c r="J628" i="11"/>
  <c r="I628" i="11"/>
  <c r="J626" i="11"/>
  <c r="I626" i="11"/>
  <c r="J625" i="11"/>
  <c r="I625" i="11"/>
  <c r="J624" i="11"/>
  <c r="I624" i="11"/>
  <c r="J623" i="11"/>
  <c r="I623" i="11"/>
  <c r="J622" i="11"/>
  <c r="I622" i="11"/>
  <c r="J621" i="11"/>
  <c r="I621" i="11"/>
  <c r="J620" i="11"/>
  <c r="I620" i="11"/>
  <c r="K626" i="11" s="1"/>
  <c r="J619" i="11"/>
  <c r="I619" i="11"/>
  <c r="J618" i="11"/>
  <c r="I618" i="11"/>
  <c r="J617" i="11"/>
  <c r="I617" i="11"/>
  <c r="J616" i="11"/>
  <c r="I616" i="11"/>
  <c r="J615" i="11"/>
  <c r="I615" i="11"/>
  <c r="J614" i="11"/>
  <c r="I614" i="11"/>
  <c r="J613" i="11"/>
  <c r="I613" i="11"/>
  <c r="J612" i="11"/>
  <c r="I612" i="11"/>
  <c r="J611" i="11"/>
  <c r="I611" i="11"/>
  <c r="J610" i="11"/>
  <c r="J609" i="11"/>
  <c r="J608" i="11"/>
  <c r="J607" i="11"/>
  <c r="N605" i="11"/>
  <c r="N604" i="11"/>
  <c r="N603" i="11"/>
  <c r="N602" i="11"/>
  <c r="N601" i="11"/>
  <c r="L601" i="11"/>
  <c r="N600" i="11"/>
  <c r="L600" i="11"/>
  <c r="N599" i="11"/>
  <c r="L599" i="11"/>
  <c r="N598" i="11"/>
  <c r="L598" i="11"/>
  <c r="O598" i="11" s="1"/>
  <c r="N597" i="11"/>
  <c r="L597" i="11"/>
  <c r="J597" i="11"/>
  <c r="I597" i="11"/>
  <c r="J596" i="11"/>
  <c r="I596" i="11"/>
  <c r="K596" i="11" s="1"/>
  <c r="J595" i="11"/>
  <c r="I595" i="11"/>
  <c r="K595" i="11" s="1"/>
  <c r="J594" i="11"/>
  <c r="I594" i="11"/>
  <c r="K594" i="11" s="1"/>
  <c r="J593" i="11"/>
  <c r="I593" i="11"/>
  <c r="K593" i="11" s="1"/>
  <c r="J592" i="11"/>
  <c r="I592" i="11"/>
  <c r="K592" i="11" s="1"/>
  <c r="J591" i="11"/>
  <c r="I591" i="11"/>
  <c r="K591" i="11" s="1"/>
  <c r="J590" i="11"/>
  <c r="I590" i="11"/>
  <c r="K590" i="11" s="1"/>
  <c r="J589" i="11"/>
  <c r="I589" i="11"/>
  <c r="K589" i="11" s="1"/>
  <c r="N588" i="11"/>
  <c r="N587" i="11"/>
  <c r="N586" i="11"/>
  <c r="N585" i="11"/>
  <c r="N584" i="11"/>
  <c r="L584" i="11"/>
  <c r="O584" i="11" s="1"/>
  <c r="N583" i="11"/>
  <c r="L583" i="11"/>
  <c r="O583" i="11" s="1"/>
  <c r="N582" i="11"/>
  <c r="L582" i="11"/>
  <c r="O582" i="11" s="1"/>
  <c r="N581" i="11"/>
  <c r="L581" i="11"/>
  <c r="O581" i="11" s="1"/>
  <c r="N580" i="11"/>
  <c r="L580" i="11"/>
  <c r="O580" i="11" s="1"/>
  <c r="J580" i="11"/>
  <c r="I580" i="11"/>
  <c r="K580" i="11" s="1"/>
  <c r="J579" i="11"/>
  <c r="I579" i="11"/>
  <c r="K579" i="11" s="1"/>
  <c r="J578" i="11"/>
  <c r="I578" i="11"/>
  <c r="K578" i="11" s="1"/>
  <c r="J577" i="11"/>
  <c r="I577" i="11"/>
  <c r="K577" i="11" s="1"/>
  <c r="J576" i="11"/>
  <c r="I576" i="11"/>
  <c r="K576" i="11" s="1"/>
  <c r="J575" i="11"/>
  <c r="I575" i="11"/>
  <c r="K575" i="11" s="1"/>
  <c r="J573" i="11"/>
  <c r="I573" i="11"/>
  <c r="N572" i="11"/>
  <c r="N571" i="11"/>
  <c r="N570" i="11"/>
  <c r="N569" i="11"/>
  <c r="N568" i="11"/>
  <c r="L568" i="11"/>
  <c r="N567" i="11"/>
  <c r="L567" i="11"/>
  <c r="O567" i="11" s="1"/>
  <c r="N566" i="11"/>
  <c r="L566" i="11"/>
  <c r="N565" i="11"/>
  <c r="L565" i="11"/>
  <c r="O565" i="11" s="1"/>
  <c r="N564" i="11"/>
  <c r="L564" i="11"/>
  <c r="J564" i="11"/>
  <c r="I564" i="11"/>
  <c r="J561" i="11"/>
  <c r="I561" i="11"/>
  <c r="K561" i="11" s="1"/>
  <c r="J560" i="11"/>
  <c r="I560" i="11"/>
  <c r="K560" i="11" s="1"/>
  <c r="N559" i="11"/>
  <c r="N558" i="11"/>
  <c r="N557" i="11"/>
  <c r="N556" i="11"/>
  <c r="N555" i="11"/>
  <c r="L555" i="11"/>
  <c r="N554" i="11"/>
  <c r="L554" i="11"/>
  <c r="O554" i="11" s="1"/>
  <c r="N553" i="11"/>
  <c r="L553" i="11"/>
  <c r="O553" i="11" s="1"/>
  <c r="N552" i="11"/>
  <c r="L552" i="11"/>
  <c r="N551" i="11"/>
  <c r="L551" i="11"/>
  <c r="O551" i="11" s="1"/>
  <c r="J551" i="11"/>
  <c r="I551" i="11"/>
  <c r="K551" i="11" s="1"/>
  <c r="J550" i="11"/>
  <c r="J549" i="11"/>
  <c r="J548" i="11"/>
  <c r="I548" i="11"/>
  <c r="K548" i="11" s="1"/>
  <c r="J547" i="11"/>
  <c r="I547" i="11"/>
  <c r="J546" i="11"/>
  <c r="J545" i="11"/>
  <c r="J544" i="11"/>
  <c r="J543" i="11"/>
  <c r="N541" i="11"/>
  <c r="N540" i="11"/>
  <c r="N539" i="11"/>
  <c r="N538" i="11"/>
  <c r="N537" i="11"/>
  <c r="L537" i="11"/>
  <c r="N536" i="11"/>
  <c r="L536" i="11"/>
  <c r="O536" i="11" s="1"/>
  <c r="N535" i="11"/>
  <c r="L535" i="11"/>
  <c r="N534" i="11"/>
  <c r="L534" i="11"/>
  <c r="O534" i="11" s="1"/>
  <c r="N533" i="11"/>
  <c r="L533" i="11"/>
  <c r="J533" i="11"/>
  <c r="I533" i="11"/>
  <c r="J532" i="11"/>
  <c r="I532" i="11"/>
  <c r="J531" i="11"/>
  <c r="I531" i="11"/>
  <c r="J530" i="11"/>
  <c r="I530" i="11"/>
  <c r="J529" i="11"/>
  <c r="I529" i="11"/>
  <c r="J528" i="11"/>
  <c r="I528" i="11"/>
  <c r="J527" i="11"/>
  <c r="I527" i="11"/>
  <c r="J526" i="11"/>
  <c r="I526" i="11"/>
  <c r="J525" i="11"/>
  <c r="I525" i="11"/>
  <c r="J524" i="11"/>
  <c r="I524" i="11"/>
  <c r="J523" i="11"/>
  <c r="I523" i="11"/>
  <c r="J522" i="11"/>
  <c r="I522" i="11"/>
  <c r="J521" i="11"/>
  <c r="I521" i="11"/>
  <c r="J520" i="11"/>
  <c r="I520" i="11"/>
  <c r="J519" i="11"/>
  <c r="I519" i="11"/>
  <c r="J518" i="11"/>
  <c r="I518" i="11"/>
  <c r="J517" i="11"/>
  <c r="I517" i="11"/>
  <c r="J516" i="11"/>
  <c r="I516" i="11"/>
  <c r="J515" i="11"/>
  <c r="I515" i="11"/>
  <c r="K515" i="11" s="1"/>
  <c r="J514" i="11"/>
  <c r="I514" i="11"/>
  <c r="K514" i="11" s="1"/>
  <c r="J513" i="11"/>
  <c r="I513" i="11"/>
  <c r="K513" i="11" s="1"/>
  <c r="J512" i="11"/>
  <c r="I512" i="11"/>
  <c r="K512" i="11" s="1"/>
  <c r="J511" i="11"/>
  <c r="I511" i="11"/>
  <c r="K511" i="11" s="1"/>
  <c r="J510" i="11"/>
  <c r="I510" i="11"/>
  <c r="K510" i="11" s="1"/>
  <c r="J509" i="11"/>
  <c r="I509" i="11"/>
  <c r="K509" i="11" s="1"/>
  <c r="J508" i="11"/>
  <c r="I508" i="11"/>
  <c r="K508" i="11" s="1"/>
  <c r="J507" i="11"/>
  <c r="I507" i="11"/>
  <c r="K507" i="11" s="1"/>
  <c r="J506" i="11"/>
  <c r="I506" i="11"/>
  <c r="K506" i="11" s="1"/>
  <c r="J505" i="11"/>
  <c r="I505" i="11"/>
  <c r="K505" i="11" s="1"/>
  <c r="J504" i="11"/>
  <c r="I504" i="11"/>
  <c r="K504" i="11" s="1"/>
  <c r="J503" i="11"/>
  <c r="I503" i="11"/>
  <c r="K503" i="11" s="1"/>
  <c r="J502" i="11"/>
  <c r="I502" i="11"/>
  <c r="K502" i="11" s="1"/>
  <c r="J501" i="11"/>
  <c r="I501" i="11"/>
  <c r="K501" i="11" s="1"/>
  <c r="J500" i="11"/>
  <c r="I500" i="11"/>
  <c r="K500" i="11" s="1"/>
  <c r="J499" i="11"/>
  <c r="I499" i="11"/>
  <c r="K499" i="11" s="1"/>
  <c r="J498" i="11"/>
  <c r="I498" i="11"/>
  <c r="K498" i="11" s="1"/>
  <c r="J497" i="11"/>
  <c r="I497" i="11"/>
  <c r="K497" i="11" s="1"/>
  <c r="J496" i="11"/>
  <c r="I496" i="11"/>
  <c r="K496" i="11" s="1"/>
  <c r="J495" i="11"/>
  <c r="I495" i="11"/>
  <c r="K495" i="11" s="1"/>
  <c r="J494" i="11"/>
  <c r="I494" i="11"/>
  <c r="K494" i="11" s="1"/>
  <c r="J493" i="11"/>
  <c r="I493" i="11"/>
  <c r="K493" i="11" s="1"/>
  <c r="J492" i="11"/>
  <c r="I492" i="11"/>
  <c r="K492" i="11" s="1"/>
  <c r="J491" i="11"/>
  <c r="I491" i="11"/>
  <c r="K491" i="11" s="1"/>
  <c r="J490" i="11"/>
  <c r="I490" i="11"/>
  <c r="K490" i="11" s="1"/>
  <c r="J489" i="11"/>
  <c r="I489" i="11"/>
  <c r="K489" i="11" s="1"/>
  <c r="J488" i="11"/>
  <c r="I488" i="11"/>
  <c r="K488" i="11" s="1"/>
  <c r="J487" i="11"/>
  <c r="I487" i="11"/>
  <c r="K487" i="11" s="1"/>
  <c r="J486" i="11"/>
  <c r="I486" i="11"/>
  <c r="K486" i="11" s="1"/>
  <c r="J485" i="11"/>
  <c r="I485" i="11"/>
  <c r="K485" i="11" s="1"/>
  <c r="J484" i="11"/>
  <c r="I484" i="11"/>
  <c r="K484" i="11" s="1"/>
  <c r="J483" i="11"/>
  <c r="I483" i="11"/>
  <c r="K483" i="11" s="1"/>
  <c r="J482" i="11"/>
  <c r="I482" i="11"/>
  <c r="J481" i="11"/>
  <c r="I481" i="11"/>
  <c r="J480" i="11"/>
  <c r="I480" i="11"/>
  <c r="K480" i="11" s="1"/>
  <c r="J479" i="11"/>
  <c r="I479" i="11"/>
  <c r="K479" i="11" s="1"/>
  <c r="J478" i="11"/>
  <c r="I478" i="11"/>
  <c r="K478" i="11" s="1"/>
  <c r="J477" i="11"/>
  <c r="I477" i="11"/>
  <c r="K477" i="11" s="1"/>
  <c r="J476" i="11"/>
  <c r="I476" i="11"/>
  <c r="K476" i="11" s="1"/>
  <c r="J475" i="11"/>
  <c r="I475" i="11"/>
  <c r="K475" i="11" s="1"/>
  <c r="J474" i="11"/>
  <c r="I474" i="11"/>
  <c r="J473" i="11"/>
  <c r="I473" i="11"/>
  <c r="J472" i="11"/>
  <c r="I472" i="11"/>
  <c r="K472" i="11" s="1"/>
  <c r="J471" i="11"/>
  <c r="I471" i="11"/>
  <c r="K471" i="11" s="1"/>
  <c r="J470" i="11"/>
  <c r="I470" i="11"/>
  <c r="K470" i="11" s="1"/>
  <c r="J469" i="11"/>
  <c r="I469" i="11"/>
  <c r="K469" i="11" s="1"/>
  <c r="J468" i="11"/>
  <c r="I468" i="11"/>
  <c r="K468" i="11" s="1"/>
  <c r="J467" i="11"/>
  <c r="I467" i="11"/>
  <c r="K467" i="11" s="1"/>
  <c r="J466" i="11"/>
  <c r="I466" i="11"/>
  <c r="J465" i="11"/>
  <c r="I465" i="11"/>
  <c r="J464" i="11"/>
  <c r="I464" i="11"/>
  <c r="N463" i="11"/>
  <c r="N462" i="11"/>
  <c r="N461" i="11"/>
  <c r="N460" i="11"/>
  <c r="N459" i="11"/>
  <c r="L459" i="11"/>
  <c r="N458" i="11"/>
  <c r="L458" i="11"/>
  <c r="O458" i="11" s="1"/>
  <c r="N457" i="11"/>
  <c r="L457" i="11"/>
  <c r="N456" i="11"/>
  <c r="L456" i="11"/>
  <c r="O456" i="11" s="1"/>
  <c r="N455" i="11"/>
  <c r="L455" i="11"/>
  <c r="J455" i="11"/>
  <c r="I455" i="11"/>
  <c r="J454" i="11"/>
  <c r="J453" i="11"/>
  <c r="J452" i="11"/>
  <c r="I452" i="11"/>
  <c r="K452" i="11" s="1"/>
  <c r="J451" i="11"/>
  <c r="I451" i="11"/>
  <c r="K451" i="11" s="1"/>
  <c r="J450" i="11"/>
  <c r="I450" i="11"/>
  <c r="J449" i="11"/>
  <c r="I449" i="11"/>
  <c r="J448" i="11"/>
  <c r="J447" i="11"/>
  <c r="J446" i="11"/>
  <c r="J445" i="11"/>
  <c r="N443" i="11"/>
  <c r="N442" i="11"/>
  <c r="N441" i="11"/>
  <c r="N440" i="11"/>
  <c r="N439" i="11"/>
  <c r="L439" i="11"/>
  <c r="N438" i="11"/>
  <c r="L438" i="11"/>
  <c r="N437" i="11"/>
  <c r="L437" i="11"/>
  <c r="N436" i="11"/>
  <c r="L436" i="11"/>
  <c r="N435" i="11"/>
  <c r="L435" i="11"/>
  <c r="J435" i="11"/>
  <c r="I435" i="11"/>
  <c r="J434" i="11"/>
  <c r="J433" i="11"/>
  <c r="J432" i="11"/>
  <c r="I432" i="11"/>
  <c r="J431" i="11"/>
  <c r="I431" i="11"/>
  <c r="J430" i="11"/>
  <c r="I430" i="11"/>
  <c r="J429" i="11"/>
  <c r="I429" i="11"/>
  <c r="J428" i="11"/>
  <c r="I428" i="11"/>
  <c r="J427" i="11"/>
  <c r="I427" i="11"/>
  <c r="J426" i="11"/>
  <c r="I426" i="11"/>
  <c r="J425" i="11"/>
  <c r="I425" i="11"/>
  <c r="J424" i="11"/>
  <c r="I424" i="11"/>
  <c r="J423" i="11"/>
  <c r="I423" i="11"/>
  <c r="J422" i="11"/>
  <c r="I422" i="11"/>
  <c r="J421" i="11"/>
  <c r="I421" i="11"/>
  <c r="J420" i="11"/>
  <c r="I420" i="11"/>
  <c r="J419" i="11"/>
  <c r="I419" i="11"/>
  <c r="J418" i="11"/>
  <c r="I418" i="11"/>
  <c r="J417" i="11"/>
  <c r="I417" i="11"/>
  <c r="J416" i="11"/>
  <c r="I416" i="11"/>
  <c r="J415" i="11"/>
  <c r="J414" i="11"/>
  <c r="J413" i="11"/>
  <c r="J412" i="11"/>
  <c r="N410" i="11"/>
  <c r="N409" i="11"/>
  <c r="N408" i="11"/>
  <c r="N407" i="11"/>
  <c r="N406" i="11"/>
  <c r="L406" i="11"/>
  <c r="N405" i="11"/>
  <c r="L405" i="11"/>
  <c r="O405" i="11" s="1"/>
  <c r="N404" i="11"/>
  <c r="L404" i="11"/>
  <c r="N403" i="11"/>
  <c r="L403" i="11"/>
  <c r="O403" i="11" s="1"/>
  <c r="J402" i="11"/>
  <c r="I402" i="11"/>
  <c r="N401" i="11"/>
  <c r="L401" i="11"/>
  <c r="J401" i="11"/>
  <c r="I401" i="11"/>
  <c r="J400" i="11"/>
  <c r="J399" i="11"/>
  <c r="J398" i="11"/>
  <c r="I398" i="11"/>
  <c r="J397" i="11"/>
  <c r="I397" i="11"/>
  <c r="J396" i="11"/>
  <c r="I396" i="11"/>
  <c r="J394" i="11"/>
  <c r="J393" i="11"/>
  <c r="J392" i="11"/>
  <c r="J391" i="11"/>
  <c r="N389" i="11"/>
  <c r="N388" i="11"/>
  <c r="N387" i="11"/>
  <c r="N386" i="11"/>
  <c r="N385" i="11"/>
  <c r="L385" i="11"/>
  <c r="N384" i="11"/>
  <c r="L384" i="11"/>
  <c r="O384" i="11" s="1"/>
  <c r="N383" i="11"/>
  <c r="L383" i="11"/>
  <c r="N382" i="11"/>
  <c r="L382" i="11"/>
  <c r="O382" i="11" s="1"/>
  <c r="J381" i="11"/>
  <c r="I381" i="11"/>
  <c r="N380" i="11"/>
  <c r="L380" i="11"/>
  <c r="J380" i="11"/>
  <c r="I380" i="11"/>
  <c r="J379" i="11"/>
  <c r="J378" i="11"/>
  <c r="J377" i="11"/>
  <c r="I377" i="11"/>
  <c r="K377" i="11" s="1"/>
  <c r="J376" i="11"/>
  <c r="I376" i="11"/>
  <c r="K376" i="11" s="1"/>
  <c r="J375" i="11"/>
  <c r="I375" i="11"/>
  <c r="J374" i="11"/>
  <c r="I374" i="11"/>
  <c r="J373" i="11"/>
  <c r="I373" i="11"/>
  <c r="K373" i="11" s="1"/>
  <c r="J372" i="11"/>
  <c r="I372" i="11"/>
  <c r="J371" i="11"/>
  <c r="I371" i="11"/>
  <c r="K371" i="11" s="1"/>
  <c r="J370" i="11"/>
  <c r="I370" i="11"/>
  <c r="K370" i="11" s="1"/>
  <c r="J369" i="11"/>
  <c r="I369" i="11"/>
  <c r="J368" i="11"/>
  <c r="I368" i="11"/>
  <c r="K368" i="11" s="1"/>
  <c r="J367" i="11"/>
  <c r="J366" i="11"/>
  <c r="J365" i="11"/>
  <c r="I365" i="11"/>
  <c r="K365" i="11" s="1"/>
  <c r="J364" i="11"/>
  <c r="J363" i="11"/>
  <c r="J362" i="11"/>
  <c r="J361" i="11"/>
  <c r="J360" i="11"/>
  <c r="N358" i="11"/>
  <c r="N357" i="11"/>
  <c r="N356" i="11"/>
  <c r="N355" i="11"/>
  <c r="N354" i="11"/>
  <c r="L354" i="11"/>
  <c r="O354" i="11" s="1"/>
  <c r="N353" i="11"/>
  <c r="L353" i="11"/>
  <c r="O353" i="11" s="1"/>
  <c r="N352" i="11"/>
  <c r="L352" i="11"/>
  <c r="N351" i="11"/>
  <c r="L351" i="11"/>
  <c r="O351" i="11" s="1"/>
  <c r="J350" i="11"/>
  <c r="I350" i="11"/>
  <c r="K350" i="11" s="1"/>
  <c r="N349" i="11"/>
  <c r="L349" i="11"/>
  <c r="O349" i="11" s="1"/>
  <c r="J349" i="11"/>
  <c r="I349" i="11"/>
  <c r="K349" i="11" s="1"/>
  <c r="N347" i="11"/>
  <c r="L347" i="11"/>
  <c r="J346" i="11"/>
  <c r="I346" i="11"/>
  <c r="K346" i="11" s="1"/>
  <c r="J345" i="11"/>
  <c r="I345" i="11"/>
  <c r="J344" i="11"/>
  <c r="I344" i="11"/>
  <c r="K344" i="11" s="1"/>
  <c r="J343" i="11"/>
  <c r="I343" i="11"/>
  <c r="J342" i="11"/>
  <c r="I342" i="11"/>
  <c r="K342" i="11" s="1"/>
  <c r="J341" i="11"/>
  <c r="I341" i="11"/>
  <c r="J340" i="11"/>
  <c r="I340" i="11"/>
  <c r="J339" i="11"/>
  <c r="I339" i="11"/>
  <c r="K339" i="11" s="1"/>
  <c r="N337" i="11"/>
  <c r="L337" i="11"/>
  <c r="L335" i="11"/>
  <c r="L334" i="11"/>
  <c r="N333" i="11"/>
  <c r="M333" i="11"/>
  <c r="O332" i="11"/>
  <c r="P330" i="11"/>
  <c r="N330" i="11"/>
  <c r="M330" i="11"/>
  <c r="L330" i="11"/>
  <c r="J328" i="11"/>
  <c r="I328" i="11"/>
  <c r="J326" i="11"/>
  <c r="J325" i="11"/>
  <c r="J324" i="11"/>
  <c r="I324" i="11"/>
  <c r="K324" i="11" s="1"/>
  <c r="J323" i="11"/>
  <c r="J322" i="11"/>
  <c r="J321" i="11"/>
  <c r="J320" i="11"/>
  <c r="N318" i="11"/>
  <c r="L318" i="11"/>
  <c r="O318" i="11" s="1"/>
  <c r="L316" i="11"/>
  <c r="L315" i="11"/>
  <c r="N314" i="11"/>
  <c r="M314" i="11"/>
  <c r="P314" i="11" s="1"/>
  <c r="O313" i="11"/>
  <c r="N311" i="11"/>
  <c r="M311" i="11"/>
  <c r="P311" i="11" s="1"/>
  <c r="L311" i="11"/>
  <c r="J309" i="11"/>
  <c r="I309" i="11"/>
  <c r="K309" i="11" s="1"/>
  <c r="J308" i="11"/>
  <c r="J307" i="11"/>
  <c r="J306" i="11"/>
  <c r="I306" i="11"/>
  <c r="K306" i="11" s="1"/>
  <c r="J304" i="11"/>
  <c r="I304" i="11"/>
  <c r="K304" i="11" s="1"/>
  <c r="J303" i="11"/>
  <c r="J302" i="11"/>
  <c r="J301" i="11"/>
  <c r="J300" i="11"/>
  <c r="N298" i="11"/>
  <c r="L298" i="11"/>
  <c r="O298" i="11" s="1"/>
  <c r="L296" i="11"/>
  <c r="L295" i="11"/>
  <c r="N294" i="11"/>
  <c r="M294" i="11"/>
  <c r="P294" i="11" s="1"/>
  <c r="O293" i="11"/>
  <c r="N291" i="11"/>
  <c r="M291" i="11"/>
  <c r="L291" i="11"/>
  <c r="O291" i="11" s="1"/>
  <c r="J289" i="11"/>
  <c r="I289" i="11"/>
  <c r="K289" i="11" s="1"/>
  <c r="J287" i="11"/>
  <c r="J286" i="11"/>
  <c r="J285" i="11"/>
  <c r="I285" i="11"/>
  <c r="K285" i="11" s="1"/>
  <c r="J284" i="11"/>
  <c r="J283" i="11"/>
  <c r="J282" i="11"/>
  <c r="J281" i="11"/>
  <c r="N279" i="11"/>
  <c r="L279" i="11"/>
  <c r="O279" i="11" s="1"/>
  <c r="L277" i="11"/>
  <c r="L276" i="11"/>
  <c r="N275" i="11"/>
  <c r="M275" i="11"/>
  <c r="P275" i="11" s="1"/>
  <c r="O274" i="11"/>
  <c r="O272" i="11"/>
  <c r="N272" i="11"/>
  <c r="M272" i="11"/>
  <c r="L272" i="11"/>
  <c r="J270" i="11"/>
  <c r="I270" i="11"/>
  <c r="K270" i="11" s="1"/>
  <c r="J269" i="11"/>
  <c r="J268" i="11"/>
  <c r="J267" i="11"/>
  <c r="I267" i="11"/>
  <c r="K267" i="11" s="1"/>
  <c r="J266" i="11"/>
  <c r="I266" i="11"/>
  <c r="K266" i="11" s="1"/>
  <c r="J265" i="11"/>
  <c r="I265" i="11"/>
  <c r="K265" i="11" s="1"/>
  <c r="J264" i="11"/>
  <c r="I264" i="11"/>
  <c r="K264" i="11" s="1"/>
  <c r="J263" i="11"/>
  <c r="J262" i="11"/>
  <c r="J261" i="11"/>
  <c r="J260" i="11"/>
  <c r="N258" i="11"/>
  <c r="L258" i="11"/>
  <c r="O258" i="11" s="1"/>
  <c r="L256" i="11"/>
  <c r="L255" i="11"/>
  <c r="N254" i="11"/>
  <c r="M254" i="11"/>
  <c r="O253" i="11"/>
  <c r="N251" i="11"/>
  <c r="M251" i="11"/>
  <c r="P251" i="11" s="1"/>
  <c r="L251" i="11"/>
  <c r="J249" i="11"/>
  <c r="I249" i="11"/>
  <c r="K249" i="11" s="1"/>
  <c r="J246" i="11"/>
  <c r="J245" i="11"/>
  <c r="J244" i="11"/>
  <c r="I244" i="11"/>
  <c r="K244" i="11" s="1"/>
  <c r="J243" i="11"/>
  <c r="J242" i="11"/>
  <c r="J241" i="11"/>
  <c r="J240" i="11"/>
  <c r="J238" i="11"/>
  <c r="I238" i="11"/>
  <c r="K238" i="11" s="1"/>
  <c r="J237" i="11"/>
  <c r="J236" i="11"/>
  <c r="J235" i="11"/>
  <c r="I235" i="11"/>
  <c r="J234" i="11"/>
  <c r="J233" i="11"/>
  <c r="J232" i="11"/>
  <c r="J231" i="11"/>
  <c r="J229" i="11"/>
  <c r="I229" i="11"/>
  <c r="N228" i="11"/>
  <c r="L228" i="11"/>
  <c r="O228" i="11" s="1"/>
  <c r="L226" i="11"/>
  <c r="L225" i="11"/>
  <c r="N224" i="11"/>
  <c r="M224" i="11"/>
  <c r="M222" i="11" s="1"/>
  <c r="O223" i="11"/>
  <c r="N221" i="11"/>
  <c r="M221" i="11"/>
  <c r="L221" i="11"/>
  <c r="O221" i="11" s="1"/>
  <c r="J219" i="11"/>
  <c r="I219" i="11"/>
  <c r="J218" i="11"/>
  <c r="J217" i="11"/>
  <c r="J216" i="11"/>
  <c r="I216" i="11"/>
  <c r="K216" i="11" s="1"/>
  <c r="J215" i="11"/>
  <c r="I215" i="11"/>
  <c r="K215" i="11" s="1"/>
  <c r="J213" i="11"/>
  <c r="I213" i="11"/>
  <c r="K213" i="11" s="1"/>
  <c r="J212" i="11"/>
  <c r="J211" i="11"/>
  <c r="J210" i="11"/>
  <c r="J209" i="11"/>
  <c r="J204" i="11"/>
  <c r="I204" i="11"/>
  <c r="K204" i="11" s="1"/>
  <c r="J203" i="11"/>
  <c r="J202" i="11"/>
  <c r="J201" i="11"/>
  <c r="I201" i="11"/>
  <c r="K201" i="11" s="1"/>
  <c r="J200" i="11"/>
  <c r="I200" i="11"/>
  <c r="J199" i="11"/>
  <c r="I199" i="11"/>
  <c r="J197" i="11"/>
  <c r="J196" i="11"/>
  <c r="J195" i="11"/>
  <c r="J194" i="11"/>
  <c r="J189" i="11"/>
  <c r="I189" i="11"/>
  <c r="J188" i="11"/>
  <c r="J187" i="11"/>
  <c r="J186" i="11"/>
  <c r="I186" i="11"/>
  <c r="K186" i="11" s="1"/>
  <c r="J185" i="11"/>
  <c r="I185" i="11"/>
  <c r="K185" i="11" s="1"/>
  <c r="J184" i="11"/>
  <c r="J183" i="11"/>
  <c r="J182" i="11"/>
  <c r="J181" i="11"/>
  <c r="J176" i="11"/>
  <c r="I176" i="11"/>
  <c r="K176" i="11" s="1"/>
  <c r="J175" i="11"/>
  <c r="J174" i="11"/>
  <c r="J173" i="11"/>
  <c r="I173" i="11"/>
  <c r="J172" i="11"/>
  <c r="J171" i="11"/>
  <c r="J170" i="11"/>
  <c r="J169" i="11"/>
  <c r="J164" i="11"/>
  <c r="I164" i="11"/>
  <c r="J163" i="11"/>
  <c r="J162" i="11"/>
  <c r="J161" i="11"/>
  <c r="J160" i="11"/>
  <c r="J159" i="11"/>
  <c r="J158" i="11"/>
  <c r="I158" i="11"/>
  <c r="J157" i="11"/>
  <c r="J156" i="11"/>
  <c r="J155" i="11"/>
  <c r="J154" i="11"/>
  <c r="J149" i="11"/>
  <c r="I149" i="11"/>
  <c r="N148" i="11"/>
  <c r="L148" i="11"/>
  <c r="O148" i="11" s="1"/>
  <c r="L146" i="11"/>
  <c r="L145" i="11"/>
  <c r="N144" i="11"/>
  <c r="M144" i="11"/>
  <c r="M142" i="11" s="1"/>
  <c r="O143" i="11"/>
  <c r="P141" i="11"/>
  <c r="N141" i="11"/>
  <c r="M141" i="11"/>
  <c r="L141" i="11"/>
  <c r="J138" i="11"/>
  <c r="I138" i="11"/>
  <c r="K138" i="11" s="1"/>
  <c r="J135" i="11"/>
  <c r="J134" i="11"/>
  <c r="J133" i="11"/>
  <c r="I133" i="11"/>
  <c r="K133" i="11" s="1"/>
  <c r="J132" i="11"/>
  <c r="I132" i="11"/>
  <c r="K132" i="11" s="1"/>
  <c r="J131" i="11"/>
  <c r="J130" i="11"/>
  <c r="J129" i="11"/>
  <c r="J128" i="11"/>
  <c r="N126" i="11"/>
  <c r="L126" i="11"/>
  <c r="O126" i="11" s="1"/>
  <c r="L124" i="11"/>
  <c r="L123" i="11"/>
  <c r="N122" i="11"/>
  <c r="M122" i="11"/>
  <c r="P122" i="11" s="1"/>
  <c r="O121" i="11"/>
  <c r="P119" i="11"/>
  <c r="O119" i="11"/>
  <c r="N119" i="11"/>
  <c r="M119" i="11"/>
  <c r="L119" i="11"/>
  <c r="J117" i="11"/>
  <c r="I117" i="11"/>
  <c r="K117" i="11" s="1"/>
  <c r="J115" i="11"/>
  <c r="J114" i="11"/>
  <c r="J113" i="11"/>
  <c r="I113" i="11"/>
  <c r="K113" i="11" s="1"/>
  <c r="J112" i="11"/>
  <c r="I112" i="11"/>
  <c r="K112" i="11" s="1"/>
  <c r="J111" i="11"/>
  <c r="I111" i="11"/>
  <c r="K111" i="11" s="1"/>
  <c r="J110" i="11"/>
  <c r="I110" i="11"/>
  <c r="K110" i="11" s="1"/>
  <c r="J109" i="11"/>
  <c r="I109" i="11"/>
  <c r="K109" i="11" s="1"/>
  <c r="J108" i="11"/>
  <c r="I108" i="11"/>
  <c r="K108" i="11" s="1"/>
  <c r="J107" i="11"/>
  <c r="J106" i="11"/>
  <c r="J105" i="11"/>
  <c r="J104" i="11"/>
  <c r="N102" i="11"/>
  <c r="L102" i="11"/>
  <c r="O102" i="11" s="1"/>
  <c r="L100" i="11"/>
  <c r="L99" i="11"/>
  <c r="N98" i="11"/>
  <c r="M98" i="11"/>
  <c r="O97" i="11"/>
  <c r="P95" i="11"/>
  <c r="O95" i="11"/>
  <c r="N95" i="11"/>
  <c r="M95" i="11"/>
  <c r="L95" i="11"/>
  <c r="J93" i="11"/>
  <c r="I93" i="11"/>
  <c r="K93" i="11" s="1"/>
  <c r="J92" i="11"/>
  <c r="I92" i="11"/>
  <c r="K92" i="11" s="1"/>
  <c r="J90" i="11"/>
  <c r="J89" i="11"/>
  <c r="J88" i="11"/>
  <c r="I88" i="11"/>
  <c r="K88" i="11" s="1"/>
  <c r="J87" i="11"/>
  <c r="I87" i="11"/>
  <c r="K87" i="11" s="1"/>
  <c r="J86" i="11"/>
  <c r="I86" i="11"/>
  <c r="K86" i="11" s="1"/>
  <c r="J85" i="11"/>
  <c r="I85" i="11"/>
  <c r="K85" i="11" s="1"/>
  <c r="J84" i="11"/>
  <c r="I84" i="11"/>
  <c r="K84" i="11" s="1"/>
  <c r="J83" i="11"/>
  <c r="I83" i="11"/>
  <c r="K83" i="11" s="1"/>
  <c r="J82" i="11"/>
  <c r="I82" i="11"/>
  <c r="K82" i="11" s="1"/>
  <c r="J81" i="11"/>
  <c r="I81" i="11"/>
  <c r="K81" i="11" s="1"/>
  <c r="J80" i="11"/>
  <c r="I80" i="11"/>
  <c r="K80" i="11" s="1"/>
  <c r="J79" i="11"/>
  <c r="J78" i="11"/>
  <c r="J77" i="11"/>
  <c r="J76" i="11"/>
  <c r="N74" i="11"/>
  <c r="L74" i="11"/>
  <c r="O74" i="11" s="1"/>
  <c r="L72" i="11"/>
  <c r="L71" i="11"/>
  <c r="N70" i="11"/>
  <c r="M70" i="11"/>
  <c r="M68" i="11" s="1"/>
  <c r="P68" i="11" s="1"/>
  <c r="O69" i="11"/>
  <c r="O67" i="11"/>
  <c r="N67" i="11"/>
  <c r="M67" i="11"/>
  <c r="L67" i="11"/>
  <c r="J65" i="11"/>
  <c r="I65" i="11"/>
  <c r="K65" i="11" s="1"/>
  <c r="J64" i="11"/>
  <c r="I64" i="11"/>
  <c r="K64" i="11" s="1"/>
  <c r="N61" i="11"/>
  <c r="L61" i="11"/>
  <c r="O61" i="11" s="1"/>
  <c r="L59" i="11"/>
  <c r="L58" i="11"/>
  <c r="N57" i="11"/>
  <c r="M57" i="11"/>
  <c r="M55" i="11" s="1"/>
  <c r="P54" i="11"/>
  <c r="O54" i="11"/>
  <c r="N54" i="11"/>
  <c r="M54" i="11"/>
  <c r="L54" i="11"/>
  <c r="N49" i="11"/>
  <c r="L49" i="11"/>
  <c r="M49" i="11" s="1"/>
  <c r="L47" i="11"/>
  <c r="L46" i="11"/>
  <c r="N45" i="11"/>
  <c r="M45" i="11"/>
  <c r="N42" i="11"/>
  <c r="M42" i="11"/>
  <c r="L42" i="11"/>
  <c r="O42" i="11" s="1"/>
  <c r="P36" i="11"/>
  <c r="O36" i="11"/>
  <c r="P35" i="11"/>
  <c r="O35" i="11"/>
  <c r="M34" i="11"/>
  <c r="P34" i="11" s="1"/>
  <c r="M33" i="11"/>
  <c r="P33" i="11" s="1"/>
  <c r="P32" i="11"/>
  <c r="M32" i="11"/>
  <c r="P31" i="11"/>
  <c r="M31" i="11"/>
  <c r="P30" i="11"/>
  <c r="M30" i="11"/>
  <c r="M29" i="11"/>
  <c r="M28" i="11" s="1"/>
  <c r="P28" i="11" s="1"/>
  <c r="P25" i="11"/>
  <c r="N25" i="11"/>
  <c r="M25" i="11"/>
  <c r="L25" i="11"/>
  <c r="P24" i="11"/>
  <c r="N24" i="11"/>
  <c r="M24" i="11"/>
  <c r="P23" i="11"/>
  <c r="N23" i="11"/>
  <c r="M23" i="11"/>
  <c r="N21" i="11"/>
  <c r="M21" i="11"/>
  <c r="P21" i="11" s="1"/>
  <c r="L21" i="11"/>
  <c r="O21" i="11" s="1"/>
  <c r="L19" i="11"/>
  <c r="N15" i="11"/>
  <c r="M15" i="11"/>
  <c r="P15" i="11" s="1"/>
  <c r="M14" i="11"/>
  <c r="P14" i="11" s="1"/>
  <c r="M13" i="11"/>
  <c r="P13" i="11" s="1"/>
  <c r="J677" i="10"/>
  <c r="J676" i="10"/>
  <c r="J675" i="10"/>
  <c r="J674" i="10"/>
  <c r="J673" i="10"/>
  <c r="J672" i="10"/>
  <c r="N671" i="10"/>
  <c r="L671" i="10"/>
  <c r="O671" i="10" s="1"/>
  <c r="I671" i="10"/>
  <c r="K671" i="10" s="1"/>
  <c r="J670" i="10"/>
  <c r="J669" i="10"/>
  <c r="N668" i="10"/>
  <c r="L668" i="10"/>
  <c r="O668" i="10" s="1"/>
  <c r="J668" i="10"/>
  <c r="I668" i="10"/>
  <c r="K668" i="10" s="1"/>
  <c r="J667" i="10"/>
  <c r="J666" i="10"/>
  <c r="N665" i="10"/>
  <c r="L665" i="10"/>
  <c r="O665" i="10" s="1"/>
  <c r="J665" i="10"/>
  <c r="I665" i="10"/>
  <c r="K665" i="10" s="1"/>
  <c r="J663" i="10"/>
  <c r="I663" i="10"/>
  <c r="K663" i="10" s="1"/>
  <c r="J662" i="10"/>
  <c r="N661" i="10"/>
  <c r="L661" i="10"/>
  <c r="O661" i="10" s="1"/>
  <c r="J661" i="10"/>
  <c r="J660" i="10"/>
  <c r="J659" i="10"/>
  <c r="J658" i="10"/>
  <c r="J657" i="10"/>
  <c r="J656" i="10"/>
  <c r="J655" i="10"/>
  <c r="J653" i="10"/>
  <c r="J652" i="10"/>
  <c r="N651" i="10"/>
  <c r="L651" i="10"/>
  <c r="O651" i="10" s="1"/>
  <c r="I651" i="10"/>
  <c r="K651" i="10" s="1"/>
  <c r="N650" i="10"/>
  <c r="L650" i="10"/>
  <c r="O650" i="10" s="1"/>
  <c r="J650" i="10"/>
  <c r="I650" i="10"/>
  <c r="K650" i="10" s="1"/>
  <c r="N649" i="10"/>
  <c r="L649" i="10"/>
  <c r="O649" i="10" s="1"/>
  <c r="J649" i="10"/>
  <c r="I649" i="10"/>
  <c r="N648" i="10"/>
  <c r="L648" i="10"/>
  <c r="J648" i="10"/>
  <c r="I648" i="10"/>
  <c r="K648" i="10" s="1"/>
  <c r="J647" i="10"/>
  <c r="J646" i="10"/>
  <c r="O639" i="10"/>
  <c r="O637" i="10"/>
  <c r="J635" i="10"/>
  <c r="I635" i="10"/>
  <c r="J634" i="10"/>
  <c r="I634" i="10"/>
  <c r="J633" i="10"/>
  <c r="I633" i="10"/>
  <c r="K633" i="10" s="1"/>
  <c r="J632" i="10"/>
  <c r="I632" i="10"/>
  <c r="K632" i="10" s="1"/>
  <c r="J631" i="10"/>
  <c r="I631" i="10"/>
  <c r="J630" i="10"/>
  <c r="I630" i="10"/>
  <c r="K630" i="10" s="1"/>
  <c r="J629" i="10"/>
  <c r="I629" i="10"/>
  <c r="J628" i="10"/>
  <c r="I628" i="10"/>
  <c r="J626" i="10"/>
  <c r="I626" i="10"/>
  <c r="J625" i="10"/>
  <c r="I625" i="10"/>
  <c r="J624" i="10"/>
  <c r="I624" i="10"/>
  <c r="J623" i="10"/>
  <c r="I623" i="10"/>
  <c r="J622" i="10"/>
  <c r="I622" i="10"/>
  <c r="J621" i="10"/>
  <c r="I621" i="10"/>
  <c r="J620" i="10"/>
  <c r="I620" i="10"/>
  <c r="K626" i="10" s="1"/>
  <c r="J619" i="10"/>
  <c r="I619" i="10"/>
  <c r="J618" i="10"/>
  <c r="I618" i="10"/>
  <c r="J617" i="10"/>
  <c r="I617" i="10"/>
  <c r="J616" i="10"/>
  <c r="I616" i="10"/>
  <c r="J615" i="10"/>
  <c r="I615" i="10"/>
  <c r="J614" i="10"/>
  <c r="I614" i="10"/>
  <c r="J613" i="10"/>
  <c r="I613" i="10"/>
  <c r="J612" i="10"/>
  <c r="I612" i="10"/>
  <c r="J611" i="10"/>
  <c r="I611" i="10"/>
  <c r="J610" i="10"/>
  <c r="J609" i="10"/>
  <c r="J608" i="10"/>
  <c r="J607" i="10"/>
  <c r="N605" i="10"/>
  <c r="N604" i="10"/>
  <c r="N603" i="10"/>
  <c r="N602" i="10"/>
  <c r="N601" i="10"/>
  <c r="L601" i="10"/>
  <c r="N600" i="10"/>
  <c r="L600" i="10"/>
  <c r="O600" i="10" s="1"/>
  <c r="N599" i="10"/>
  <c r="L599" i="10"/>
  <c r="N598" i="10"/>
  <c r="L598" i="10"/>
  <c r="N597" i="10"/>
  <c r="L597" i="10"/>
  <c r="J597" i="10"/>
  <c r="I597" i="10"/>
  <c r="J596" i="10"/>
  <c r="I596" i="10"/>
  <c r="K596" i="10" s="1"/>
  <c r="J595" i="10"/>
  <c r="I595" i="10"/>
  <c r="K595" i="10" s="1"/>
  <c r="J594" i="10"/>
  <c r="I594" i="10"/>
  <c r="K594" i="10" s="1"/>
  <c r="J593" i="10"/>
  <c r="I593" i="10"/>
  <c r="K593" i="10" s="1"/>
  <c r="J592" i="10"/>
  <c r="I592" i="10"/>
  <c r="K592" i="10" s="1"/>
  <c r="J591" i="10"/>
  <c r="I591" i="10"/>
  <c r="K591" i="10" s="1"/>
  <c r="J590" i="10"/>
  <c r="I590" i="10"/>
  <c r="K590" i="10" s="1"/>
  <c r="J589" i="10"/>
  <c r="I589" i="10"/>
  <c r="K589" i="10" s="1"/>
  <c r="N588" i="10"/>
  <c r="N587" i="10"/>
  <c r="N586" i="10"/>
  <c r="N585" i="10"/>
  <c r="N584" i="10"/>
  <c r="L584" i="10"/>
  <c r="O584" i="10" s="1"/>
  <c r="N583" i="10"/>
  <c r="L583" i="10"/>
  <c r="O583" i="10" s="1"/>
  <c r="N582" i="10"/>
  <c r="L582" i="10"/>
  <c r="O582" i="10" s="1"/>
  <c r="N581" i="10"/>
  <c r="L581" i="10"/>
  <c r="O581" i="10" s="1"/>
  <c r="N580" i="10"/>
  <c r="L580" i="10"/>
  <c r="O580" i="10" s="1"/>
  <c r="J580" i="10"/>
  <c r="I580" i="10"/>
  <c r="K580" i="10" s="1"/>
  <c r="J579" i="10"/>
  <c r="I579" i="10"/>
  <c r="K579" i="10" s="1"/>
  <c r="J578" i="10"/>
  <c r="I578" i="10"/>
  <c r="K578" i="10" s="1"/>
  <c r="J577" i="10"/>
  <c r="I577" i="10"/>
  <c r="K577" i="10" s="1"/>
  <c r="J576" i="10"/>
  <c r="I576" i="10"/>
  <c r="K576" i="10" s="1"/>
  <c r="J575" i="10"/>
  <c r="I575" i="10"/>
  <c r="K575" i="10" s="1"/>
  <c r="J573" i="10"/>
  <c r="I573" i="10"/>
  <c r="N572" i="10"/>
  <c r="N571" i="10"/>
  <c r="N570" i="10"/>
  <c r="N569" i="10"/>
  <c r="N568" i="10"/>
  <c r="L568" i="10"/>
  <c r="N567" i="10"/>
  <c r="L567" i="10"/>
  <c r="O567" i="10" s="1"/>
  <c r="N566" i="10"/>
  <c r="L566" i="10"/>
  <c r="N565" i="10"/>
  <c r="L565" i="10"/>
  <c r="O565" i="10" s="1"/>
  <c r="N564" i="10"/>
  <c r="L564" i="10"/>
  <c r="J564" i="10"/>
  <c r="I564" i="10"/>
  <c r="J561" i="10"/>
  <c r="I561" i="10"/>
  <c r="K561" i="10" s="1"/>
  <c r="J560" i="10"/>
  <c r="I560" i="10"/>
  <c r="K560" i="10" s="1"/>
  <c r="N559" i="10"/>
  <c r="N558" i="10"/>
  <c r="N557" i="10"/>
  <c r="N556" i="10"/>
  <c r="N555" i="10"/>
  <c r="L555" i="10"/>
  <c r="O555" i="10" s="1"/>
  <c r="N554" i="10"/>
  <c r="L554" i="10"/>
  <c r="O554" i="10" s="1"/>
  <c r="N553" i="10"/>
  <c r="L553" i="10"/>
  <c r="O553" i="10" s="1"/>
  <c r="N552" i="10"/>
  <c r="L552" i="10"/>
  <c r="O552" i="10" s="1"/>
  <c r="N551" i="10"/>
  <c r="L551" i="10"/>
  <c r="O551" i="10" s="1"/>
  <c r="J551" i="10"/>
  <c r="I551" i="10"/>
  <c r="K551" i="10" s="1"/>
  <c r="J550" i="10"/>
  <c r="J549" i="10"/>
  <c r="J548" i="10"/>
  <c r="I548" i="10"/>
  <c r="K548" i="10" s="1"/>
  <c r="J547" i="10"/>
  <c r="I547" i="10"/>
  <c r="J546" i="10"/>
  <c r="J545" i="10"/>
  <c r="J544" i="10"/>
  <c r="J543" i="10"/>
  <c r="N541" i="10"/>
  <c r="N540" i="10"/>
  <c r="N539" i="10"/>
  <c r="N538" i="10"/>
  <c r="N537" i="10"/>
  <c r="L537" i="10"/>
  <c r="N536" i="10"/>
  <c r="L536" i="10"/>
  <c r="O536" i="10" s="1"/>
  <c r="N535" i="10"/>
  <c r="L535" i="10"/>
  <c r="N534" i="10"/>
  <c r="L534" i="10"/>
  <c r="O534" i="10" s="1"/>
  <c r="N533" i="10"/>
  <c r="L533" i="10"/>
  <c r="J533" i="10"/>
  <c r="I533" i="10"/>
  <c r="J532" i="10"/>
  <c r="I532" i="10"/>
  <c r="J531" i="10"/>
  <c r="I531" i="10"/>
  <c r="J530" i="10"/>
  <c r="I530" i="10"/>
  <c r="J529" i="10"/>
  <c r="I529" i="10"/>
  <c r="J528" i="10"/>
  <c r="I528" i="10"/>
  <c r="J527" i="10"/>
  <c r="I527" i="10"/>
  <c r="J526" i="10"/>
  <c r="I526" i="10"/>
  <c r="J525" i="10"/>
  <c r="I525" i="10"/>
  <c r="J524" i="10"/>
  <c r="I524" i="10"/>
  <c r="J523" i="10"/>
  <c r="I523" i="10"/>
  <c r="J522" i="10"/>
  <c r="I522" i="10"/>
  <c r="J521" i="10"/>
  <c r="I521" i="10"/>
  <c r="J520" i="10"/>
  <c r="I520" i="10"/>
  <c r="J519" i="10"/>
  <c r="I519" i="10"/>
  <c r="J518" i="10"/>
  <c r="I518" i="10"/>
  <c r="J517" i="10"/>
  <c r="I517" i="10"/>
  <c r="J516" i="10"/>
  <c r="I516" i="10"/>
  <c r="J515" i="10"/>
  <c r="I515" i="10"/>
  <c r="K515" i="10" s="1"/>
  <c r="J514" i="10"/>
  <c r="I514" i="10"/>
  <c r="K514" i="10" s="1"/>
  <c r="J513" i="10"/>
  <c r="I513" i="10"/>
  <c r="K513" i="10" s="1"/>
  <c r="J512" i="10"/>
  <c r="I512" i="10"/>
  <c r="K512" i="10" s="1"/>
  <c r="J511" i="10"/>
  <c r="I511" i="10"/>
  <c r="K511" i="10" s="1"/>
  <c r="J510" i="10"/>
  <c r="I510" i="10"/>
  <c r="K510" i="10" s="1"/>
  <c r="J509" i="10"/>
  <c r="I509" i="10"/>
  <c r="K509" i="10" s="1"/>
  <c r="J508" i="10"/>
  <c r="I508" i="10"/>
  <c r="K508" i="10" s="1"/>
  <c r="J507" i="10"/>
  <c r="I507" i="10"/>
  <c r="K507" i="10" s="1"/>
  <c r="J506" i="10"/>
  <c r="I506" i="10"/>
  <c r="K506" i="10" s="1"/>
  <c r="J505" i="10"/>
  <c r="I505" i="10"/>
  <c r="K505" i="10" s="1"/>
  <c r="J504" i="10"/>
  <c r="I504" i="10"/>
  <c r="K504" i="10" s="1"/>
  <c r="J503" i="10"/>
  <c r="I503" i="10"/>
  <c r="K503" i="10" s="1"/>
  <c r="J502" i="10"/>
  <c r="I502" i="10"/>
  <c r="K502" i="10" s="1"/>
  <c r="J501" i="10"/>
  <c r="I501" i="10"/>
  <c r="K501" i="10" s="1"/>
  <c r="J500" i="10"/>
  <c r="I500" i="10"/>
  <c r="K500" i="10" s="1"/>
  <c r="J499" i="10"/>
  <c r="I499" i="10"/>
  <c r="K499" i="10" s="1"/>
  <c r="J498" i="10"/>
  <c r="I498" i="10"/>
  <c r="K498" i="10" s="1"/>
  <c r="J497" i="10"/>
  <c r="I497" i="10"/>
  <c r="K497" i="10" s="1"/>
  <c r="J496" i="10"/>
  <c r="I496" i="10"/>
  <c r="K496" i="10" s="1"/>
  <c r="J495" i="10"/>
  <c r="I495" i="10"/>
  <c r="K495" i="10" s="1"/>
  <c r="J494" i="10"/>
  <c r="I494" i="10"/>
  <c r="K494" i="10" s="1"/>
  <c r="J493" i="10"/>
  <c r="I493" i="10"/>
  <c r="K493" i="10" s="1"/>
  <c r="J492" i="10"/>
  <c r="I492" i="10"/>
  <c r="K492" i="10" s="1"/>
  <c r="J491" i="10"/>
  <c r="I491" i="10"/>
  <c r="K491" i="10" s="1"/>
  <c r="J490" i="10"/>
  <c r="I490" i="10"/>
  <c r="K490" i="10" s="1"/>
  <c r="J489" i="10"/>
  <c r="I489" i="10"/>
  <c r="K489" i="10" s="1"/>
  <c r="J488" i="10"/>
  <c r="I488" i="10"/>
  <c r="K488" i="10" s="1"/>
  <c r="J487" i="10"/>
  <c r="I487" i="10"/>
  <c r="K487" i="10" s="1"/>
  <c r="J486" i="10"/>
  <c r="I486" i="10"/>
  <c r="K486" i="10" s="1"/>
  <c r="J485" i="10"/>
  <c r="I485" i="10"/>
  <c r="K485" i="10" s="1"/>
  <c r="J484" i="10"/>
  <c r="I484" i="10"/>
  <c r="K484" i="10" s="1"/>
  <c r="J483" i="10"/>
  <c r="I483" i="10"/>
  <c r="K483" i="10" s="1"/>
  <c r="J482" i="10"/>
  <c r="I482" i="10"/>
  <c r="K482" i="10" s="1"/>
  <c r="J481" i="10"/>
  <c r="I481" i="10"/>
  <c r="K481" i="10" s="1"/>
  <c r="J480" i="10"/>
  <c r="I480" i="10"/>
  <c r="K480" i="10" s="1"/>
  <c r="J479" i="10"/>
  <c r="I479" i="10"/>
  <c r="K479" i="10" s="1"/>
  <c r="J478" i="10"/>
  <c r="I478" i="10"/>
  <c r="K478" i="10" s="1"/>
  <c r="J477" i="10"/>
  <c r="I477" i="10"/>
  <c r="K477" i="10" s="1"/>
  <c r="J476" i="10"/>
  <c r="I476" i="10"/>
  <c r="K476" i="10" s="1"/>
  <c r="J475" i="10"/>
  <c r="I475" i="10"/>
  <c r="K475" i="10" s="1"/>
  <c r="J474" i="10"/>
  <c r="I474" i="10"/>
  <c r="K474" i="10" s="1"/>
  <c r="J473" i="10"/>
  <c r="I473" i="10"/>
  <c r="K473" i="10" s="1"/>
  <c r="J472" i="10"/>
  <c r="I472" i="10"/>
  <c r="K472" i="10" s="1"/>
  <c r="J471" i="10"/>
  <c r="I471" i="10"/>
  <c r="K471" i="10" s="1"/>
  <c r="J470" i="10"/>
  <c r="I470" i="10"/>
  <c r="K470" i="10" s="1"/>
  <c r="J469" i="10"/>
  <c r="I469" i="10"/>
  <c r="K469" i="10" s="1"/>
  <c r="J468" i="10"/>
  <c r="I468" i="10"/>
  <c r="K468" i="10" s="1"/>
  <c r="J467" i="10"/>
  <c r="I467" i="10"/>
  <c r="K467" i="10" s="1"/>
  <c r="J466" i="10"/>
  <c r="I466" i="10"/>
  <c r="J465" i="10"/>
  <c r="I465" i="10"/>
  <c r="K465" i="10" s="1"/>
  <c r="J464" i="10"/>
  <c r="I464" i="10"/>
  <c r="K464" i="10" s="1"/>
  <c r="N463" i="10"/>
  <c r="N462" i="10"/>
  <c r="N461" i="10"/>
  <c r="N460" i="10"/>
  <c r="N459" i="10"/>
  <c r="L459" i="10"/>
  <c r="O459" i="10" s="1"/>
  <c r="N458" i="10"/>
  <c r="L458" i="10"/>
  <c r="O458" i="10" s="1"/>
  <c r="N457" i="10"/>
  <c r="L457" i="10"/>
  <c r="O457" i="10" s="1"/>
  <c r="N456" i="10"/>
  <c r="L456" i="10"/>
  <c r="O456" i="10" s="1"/>
  <c r="N455" i="10"/>
  <c r="L455" i="10"/>
  <c r="O455" i="10" s="1"/>
  <c r="J455" i="10"/>
  <c r="I455" i="10"/>
  <c r="K455" i="10" s="1"/>
  <c r="J454" i="10"/>
  <c r="J453" i="10"/>
  <c r="J452" i="10"/>
  <c r="I452" i="10"/>
  <c r="K452" i="10" s="1"/>
  <c r="J451" i="10"/>
  <c r="I451" i="10"/>
  <c r="K451" i="10" s="1"/>
  <c r="J450" i="10"/>
  <c r="I450" i="10"/>
  <c r="J449" i="10"/>
  <c r="I449" i="10"/>
  <c r="J448" i="10"/>
  <c r="J447" i="10"/>
  <c r="J446" i="10"/>
  <c r="J445" i="10"/>
  <c r="N443" i="10"/>
  <c r="N442" i="10"/>
  <c r="N441" i="10"/>
  <c r="N440" i="10"/>
  <c r="N439" i="10"/>
  <c r="L439" i="10"/>
  <c r="N438" i="10"/>
  <c r="L438" i="10"/>
  <c r="N437" i="10"/>
  <c r="L437" i="10"/>
  <c r="N436" i="10"/>
  <c r="L436" i="10"/>
  <c r="O436" i="10" s="1"/>
  <c r="N435" i="10"/>
  <c r="L435" i="10"/>
  <c r="J435" i="10"/>
  <c r="I435" i="10"/>
  <c r="J434" i="10"/>
  <c r="J433" i="10"/>
  <c r="J432" i="10"/>
  <c r="I432" i="10"/>
  <c r="J431" i="10"/>
  <c r="I431" i="10"/>
  <c r="J430" i="10"/>
  <c r="I430" i="10"/>
  <c r="J429" i="10"/>
  <c r="I429" i="10"/>
  <c r="J428" i="10"/>
  <c r="I428" i="10"/>
  <c r="J427" i="10"/>
  <c r="I427" i="10"/>
  <c r="J426" i="10"/>
  <c r="I426" i="10"/>
  <c r="J425" i="10"/>
  <c r="I425" i="10"/>
  <c r="J424" i="10"/>
  <c r="I424" i="10"/>
  <c r="J423" i="10"/>
  <c r="I423" i="10"/>
  <c r="J422" i="10"/>
  <c r="I422" i="10"/>
  <c r="J421" i="10"/>
  <c r="I421" i="10"/>
  <c r="J420" i="10"/>
  <c r="I420" i="10"/>
  <c r="J419" i="10"/>
  <c r="I419" i="10"/>
  <c r="J418" i="10"/>
  <c r="I418" i="10"/>
  <c r="J417" i="10"/>
  <c r="I417" i="10"/>
  <c r="J416" i="10"/>
  <c r="I416" i="10"/>
  <c r="J415" i="10"/>
  <c r="J414" i="10"/>
  <c r="J413" i="10"/>
  <c r="J412" i="10"/>
  <c r="N410" i="10"/>
  <c r="N409" i="10"/>
  <c r="N408" i="10"/>
  <c r="N407" i="10"/>
  <c r="N406" i="10"/>
  <c r="L406" i="10"/>
  <c r="N405" i="10"/>
  <c r="L405" i="10"/>
  <c r="O405" i="10" s="1"/>
  <c r="N404" i="10"/>
  <c r="L404" i="10"/>
  <c r="N403" i="10"/>
  <c r="L403" i="10"/>
  <c r="O403" i="10" s="1"/>
  <c r="J402" i="10"/>
  <c r="I402" i="10"/>
  <c r="N401" i="10"/>
  <c r="L401" i="10"/>
  <c r="J401" i="10"/>
  <c r="I401" i="10"/>
  <c r="J400" i="10"/>
  <c r="J399" i="10"/>
  <c r="J398" i="10"/>
  <c r="I398" i="10"/>
  <c r="J397" i="10"/>
  <c r="I397" i="10"/>
  <c r="J396" i="10"/>
  <c r="I396" i="10"/>
  <c r="J394" i="10"/>
  <c r="J393" i="10"/>
  <c r="J392" i="10"/>
  <c r="J391" i="10"/>
  <c r="N389" i="10"/>
  <c r="N388" i="10"/>
  <c r="N387" i="10"/>
  <c r="N386" i="10"/>
  <c r="N385" i="10"/>
  <c r="L385" i="10"/>
  <c r="N384" i="10"/>
  <c r="L384" i="10"/>
  <c r="N383" i="10"/>
  <c r="L383" i="10"/>
  <c r="N382" i="10"/>
  <c r="L382" i="10"/>
  <c r="O382" i="10" s="1"/>
  <c r="J381" i="10"/>
  <c r="I381" i="10"/>
  <c r="N380" i="10"/>
  <c r="L380" i="10"/>
  <c r="J380" i="10"/>
  <c r="I380" i="10"/>
  <c r="J379" i="10"/>
  <c r="J378" i="10"/>
  <c r="J377" i="10"/>
  <c r="I377" i="10"/>
  <c r="J376" i="10"/>
  <c r="I376" i="10"/>
  <c r="K376" i="10" s="1"/>
  <c r="J375" i="10"/>
  <c r="I375" i="10"/>
  <c r="J374" i="10"/>
  <c r="I374" i="10"/>
  <c r="J373" i="10"/>
  <c r="I373" i="10"/>
  <c r="K373" i="10" s="1"/>
  <c r="J372" i="10"/>
  <c r="I372" i="10"/>
  <c r="J371" i="10"/>
  <c r="I371" i="10"/>
  <c r="J370" i="10"/>
  <c r="I370" i="10"/>
  <c r="J369" i="10"/>
  <c r="I369" i="10"/>
  <c r="K369" i="10" s="1"/>
  <c r="J368" i="10"/>
  <c r="I368" i="10"/>
  <c r="J367" i="10"/>
  <c r="J366" i="10"/>
  <c r="J365" i="10"/>
  <c r="I365" i="10"/>
  <c r="K365" i="10" s="1"/>
  <c r="J364" i="10"/>
  <c r="J363" i="10"/>
  <c r="J362" i="10"/>
  <c r="J361" i="10"/>
  <c r="J360" i="10"/>
  <c r="N358" i="10"/>
  <c r="N357" i="10"/>
  <c r="N356" i="10"/>
  <c r="N355" i="10"/>
  <c r="N354" i="10"/>
  <c r="L354" i="10"/>
  <c r="N353" i="10"/>
  <c r="L353" i="10"/>
  <c r="O353" i="10" s="1"/>
  <c r="N352" i="10"/>
  <c r="L352" i="10"/>
  <c r="N351" i="10"/>
  <c r="L351" i="10"/>
  <c r="O351" i="10" s="1"/>
  <c r="J350" i="10"/>
  <c r="I350" i="10"/>
  <c r="N349" i="10"/>
  <c r="L349" i="10"/>
  <c r="J349" i="10"/>
  <c r="I349" i="10"/>
  <c r="N347" i="10"/>
  <c r="L347" i="10"/>
  <c r="J346" i="10"/>
  <c r="I346" i="10"/>
  <c r="K346" i="10" s="1"/>
  <c r="J345" i="10"/>
  <c r="I345" i="10"/>
  <c r="J344" i="10"/>
  <c r="I344" i="10"/>
  <c r="K344" i="10" s="1"/>
  <c r="J343" i="10"/>
  <c r="I343" i="10"/>
  <c r="J342" i="10"/>
  <c r="I342" i="10"/>
  <c r="K342" i="10" s="1"/>
  <c r="J341" i="10"/>
  <c r="I341" i="10"/>
  <c r="J340" i="10"/>
  <c r="I340" i="10"/>
  <c r="J339" i="10"/>
  <c r="I339" i="10"/>
  <c r="K339" i="10" s="1"/>
  <c r="N337" i="10"/>
  <c r="L337" i="10"/>
  <c r="L335" i="10"/>
  <c r="L334" i="10"/>
  <c r="N333" i="10"/>
  <c r="M333" i="10"/>
  <c r="O332" i="10"/>
  <c r="N330" i="10"/>
  <c r="M330" i="10"/>
  <c r="L330" i="10"/>
  <c r="O330" i="10" s="1"/>
  <c r="J328" i="10"/>
  <c r="I328" i="10"/>
  <c r="J326" i="10"/>
  <c r="J325" i="10"/>
  <c r="J324" i="10"/>
  <c r="I324" i="10"/>
  <c r="K324" i="10" s="1"/>
  <c r="J323" i="10"/>
  <c r="J322" i="10"/>
  <c r="J321" i="10"/>
  <c r="J320" i="10"/>
  <c r="N318" i="10"/>
  <c r="L318" i="10"/>
  <c r="O318" i="10" s="1"/>
  <c r="L316" i="10"/>
  <c r="L315" i="10"/>
  <c r="N314" i="10"/>
  <c r="M314" i="10"/>
  <c r="P314" i="10" s="1"/>
  <c r="O313" i="10"/>
  <c r="P311" i="10"/>
  <c r="O311" i="10"/>
  <c r="N311" i="10"/>
  <c r="M311" i="10"/>
  <c r="L311" i="10"/>
  <c r="J309" i="10"/>
  <c r="I309" i="10"/>
  <c r="K309" i="10" s="1"/>
  <c r="J308" i="10"/>
  <c r="J307" i="10"/>
  <c r="J306" i="10"/>
  <c r="I306" i="10"/>
  <c r="K306" i="10" s="1"/>
  <c r="J304" i="10"/>
  <c r="I304" i="10"/>
  <c r="K304" i="10" s="1"/>
  <c r="J303" i="10"/>
  <c r="J302" i="10"/>
  <c r="J301" i="10"/>
  <c r="J300" i="10"/>
  <c r="N298" i="10"/>
  <c r="L298" i="10"/>
  <c r="O298" i="10" s="1"/>
  <c r="L296" i="10"/>
  <c r="L295" i="10"/>
  <c r="N294" i="10"/>
  <c r="M294" i="10"/>
  <c r="P294" i="10" s="1"/>
  <c r="O293" i="10"/>
  <c r="O291" i="10"/>
  <c r="N291" i="10"/>
  <c r="M291" i="10"/>
  <c r="P291" i="10" s="1"/>
  <c r="L291" i="10"/>
  <c r="J289" i="10"/>
  <c r="I289" i="10"/>
  <c r="K289" i="10" s="1"/>
  <c r="J287" i="10"/>
  <c r="J286" i="10"/>
  <c r="J285" i="10"/>
  <c r="I285" i="10"/>
  <c r="K285" i="10" s="1"/>
  <c r="J284" i="10"/>
  <c r="J283" i="10"/>
  <c r="J282" i="10"/>
  <c r="J281" i="10"/>
  <c r="N279" i="10"/>
  <c r="L279" i="10"/>
  <c r="O279" i="10" s="1"/>
  <c r="L277" i="10"/>
  <c r="L276" i="10"/>
  <c r="N275" i="10"/>
  <c r="M275" i="10"/>
  <c r="P275" i="10" s="1"/>
  <c r="O274" i="10"/>
  <c r="P272" i="10"/>
  <c r="O272" i="10"/>
  <c r="N272" i="10"/>
  <c r="M272" i="10"/>
  <c r="L272" i="10"/>
  <c r="J270" i="10"/>
  <c r="I270" i="10"/>
  <c r="K270" i="10" s="1"/>
  <c r="J269" i="10"/>
  <c r="J268" i="10"/>
  <c r="J267" i="10"/>
  <c r="I267" i="10"/>
  <c r="K267" i="10" s="1"/>
  <c r="J266" i="10"/>
  <c r="I266" i="10"/>
  <c r="K266" i="10" s="1"/>
  <c r="J265" i="10"/>
  <c r="I265" i="10"/>
  <c r="K265" i="10" s="1"/>
  <c r="J264" i="10"/>
  <c r="I264" i="10"/>
  <c r="K264" i="10" s="1"/>
  <c r="J263" i="10"/>
  <c r="J262" i="10"/>
  <c r="J261" i="10"/>
  <c r="J260" i="10"/>
  <c r="N258" i="10"/>
  <c r="L258" i="10"/>
  <c r="O258" i="10" s="1"/>
  <c r="L256" i="10"/>
  <c r="L255" i="10"/>
  <c r="N254" i="10"/>
  <c r="M254" i="10"/>
  <c r="O253" i="10"/>
  <c r="P251" i="10"/>
  <c r="O251" i="10"/>
  <c r="N251" i="10"/>
  <c r="M251" i="10"/>
  <c r="L251" i="10"/>
  <c r="J249" i="10"/>
  <c r="I249" i="10"/>
  <c r="K249" i="10" s="1"/>
  <c r="J246" i="10"/>
  <c r="J245" i="10"/>
  <c r="J244" i="10"/>
  <c r="I244" i="10"/>
  <c r="K244" i="10" s="1"/>
  <c r="J243" i="10"/>
  <c r="J242" i="10"/>
  <c r="J241" i="10"/>
  <c r="J240" i="10"/>
  <c r="J238" i="10"/>
  <c r="I238" i="10"/>
  <c r="K238" i="10" s="1"/>
  <c r="J237" i="10"/>
  <c r="J236" i="10"/>
  <c r="J235" i="10"/>
  <c r="I235" i="10"/>
  <c r="J234" i="10"/>
  <c r="J233" i="10"/>
  <c r="J232" i="10"/>
  <c r="J231" i="10"/>
  <c r="J229" i="10"/>
  <c r="I229" i="10"/>
  <c r="N228" i="10"/>
  <c r="L228" i="10"/>
  <c r="O228" i="10" s="1"/>
  <c r="L226" i="10"/>
  <c r="L225" i="10"/>
  <c r="N224" i="10"/>
  <c r="M224" i="10"/>
  <c r="M222" i="10" s="1"/>
  <c r="M220" i="10" s="1"/>
  <c r="O223" i="10"/>
  <c r="O221" i="10"/>
  <c r="N221" i="10"/>
  <c r="M221" i="10"/>
  <c r="P221" i="10" s="1"/>
  <c r="L221" i="10"/>
  <c r="J219" i="10"/>
  <c r="I219" i="10"/>
  <c r="J218" i="10"/>
  <c r="J217" i="10"/>
  <c r="J216" i="10"/>
  <c r="I216" i="10"/>
  <c r="K216" i="10" s="1"/>
  <c r="J215" i="10"/>
  <c r="I215" i="10"/>
  <c r="K215" i="10" s="1"/>
  <c r="J213" i="10"/>
  <c r="I213" i="10"/>
  <c r="K213" i="10" s="1"/>
  <c r="J212" i="10"/>
  <c r="J211" i="10"/>
  <c r="J210" i="10"/>
  <c r="J209" i="10"/>
  <c r="J204" i="10"/>
  <c r="I204" i="10"/>
  <c r="K204" i="10" s="1"/>
  <c r="J203" i="10"/>
  <c r="J202" i="10"/>
  <c r="J201" i="10"/>
  <c r="I201" i="10"/>
  <c r="K201" i="10" s="1"/>
  <c r="J200" i="10"/>
  <c r="I200" i="10"/>
  <c r="K200" i="10" s="1"/>
  <c r="J199" i="10"/>
  <c r="I199" i="10"/>
  <c r="K199" i="10" s="1"/>
  <c r="J197" i="10"/>
  <c r="J196" i="10"/>
  <c r="J195" i="10"/>
  <c r="J194" i="10"/>
  <c r="J189" i="10"/>
  <c r="I189" i="10"/>
  <c r="K189" i="10" s="1"/>
  <c r="J188" i="10"/>
  <c r="J187" i="10"/>
  <c r="J186" i="10"/>
  <c r="I186" i="10"/>
  <c r="K186" i="10" s="1"/>
  <c r="J185" i="10"/>
  <c r="I185" i="10"/>
  <c r="K185" i="10" s="1"/>
  <c r="J184" i="10"/>
  <c r="J183" i="10"/>
  <c r="J182" i="10"/>
  <c r="J181" i="10"/>
  <c r="J176" i="10"/>
  <c r="I176" i="10"/>
  <c r="K176" i="10" s="1"/>
  <c r="J175" i="10"/>
  <c r="J174" i="10"/>
  <c r="J173" i="10"/>
  <c r="I173" i="10"/>
  <c r="J172" i="10"/>
  <c r="J171" i="10"/>
  <c r="J170" i="10"/>
  <c r="J169" i="10"/>
  <c r="J164" i="10"/>
  <c r="I164" i="10"/>
  <c r="J163" i="10"/>
  <c r="J162" i="10"/>
  <c r="J161" i="10"/>
  <c r="J160" i="10"/>
  <c r="J159" i="10"/>
  <c r="J158" i="10"/>
  <c r="I158" i="10"/>
  <c r="J157" i="10"/>
  <c r="J156" i="10"/>
  <c r="J155" i="10"/>
  <c r="J154" i="10"/>
  <c r="J149" i="10"/>
  <c r="I149" i="10"/>
  <c r="N148" i="10"/>
  <c r="L148" i="10"/>
  <c r="O148" i="10" s="1"/>
  <c r="L146" i="10"/>
  <c r="L145" i="10"/>
  <c r="N144" i="10"/>
  <c r="M144" i="10"/>
  <c r="O143" i="10"/>
  <c r="N141" i="10"/>
  <c r="M141" i="10"/>
  <c r="L141" i="10"/>
  <c r="O141" i="10" s="1"/>
  <c r="J138" i="10"/>
  <c r="I138" i="10"/>
  <c r="K138" i="10" s="1"/>
  <c r="J135" i="10"/>
  <c r="J134" i="10"/>
  <c r="J133" i="10"/>
  <c r="I133" i="10"/>
  <c r="K133" i="10" s="1"/>
  <c r="J132" i="10"/>
  <c r="I132" i="10"/>
  <c r="K132" i="10" s="1"/>
  <c r="J131" i="10"/>
  <c r="J130" i="10"/>
  <c r="J129" i="10"/>
  <c r="J128" i="10"/>
  <c r="N126" i="10"/>
  <c r="L126" i="10"/>
  <c r="L124" i="10"/>
  <c r="L123" i="10"/>
  <c r="N122" i="10"/>
  <c r="M122" i="10"/>
  <c r="P122" i="10" s="1"/>
  <c r="O121" i="10"/>
  <c r="N119" i="10"/>
  <c r="M119" i="10"/>
  <c r="L119" i="10"/>
  <c r="J117" i="10"/>
  <c r="I117" i="10"/>
  <c r="K117" i="10" s="1"/>
  <c r="J115" i="10"/>
  <c r="J114" i="10"/>
  <c r="J113" i="10"/>
  <c r="I113" i="10"/>
  <c r="K113" i="10" s="1"/>
  <c r="J112" i="10"/>
  <c r="I112" i="10"/>
  <c r="K112" i="10" s="1"/>
  <c r="J111" i="10"/>
  <c r="I111" i="10"/>
  <c r="K111" i="10" s="1"/>
  <c r="J110" i="10"/>
  <c r="I110" i="10"/>
  <c r="K110" i="10" s="1"/>
  <c r="J109" i="10"/>
  <c r="I109" i="10"/>
  <c r="K109" i="10" s="1"/>
  <c r="J108" i="10"/>
  <c r="I108" i="10"/>
  <c r="K108" i="10" s="1"/>
  <c r="J107" i="10"/>
  <c r="J106" i="10"/>
  <c r="J105" i="10"/>
  <c r="J104" i="10"/>
  <c r="N102" i="10"/>
  <c r="L102" i="10"/>
  <c r="O102" i="10" s="1"/>
  <c r="L100" i="10"/>
  <c r="L99" i="10"/>
  <c r="N98" i="10"/>
  <c r="M98" i="10"/>
  <c r="P98" i="10" s="1"/>
  <c r="O97" i="10"/>
  <c r="P95" i="10"/>
  <c r="N95" i="10"/>
  <c r="M95" i="10"/>
  <c r="L95" i="10"/>
  <c r="J93" i="10"/>
  <c r="I93" i="10"/>
  <c r="K93" i="10" s="1"/>
  <c r="J92" i="10"/>
  <c r="I92" i="10"/>
  <c r="K92" i="10" s="1"/>
  <c r="J90" i="10"/>
  <c r="J89" i="10"/>
  <c r="J88" i="10"/>
  <c r="I88" i="10"/>
  <c r="K88" i="10" s="1"/>
  <c r="J87" i="10"/>
  <c r="I87" i="10"/>
  <c r="K87" i="10" s="1"/>
  <c r="J86" i="10"/>
  <c r="I86" i="10"/>
  <c r="K86" i="10" s="1"/>
  <c r="J85" i="10"/>
  <c r="I85" i="10"/>
  <c r="K85" i="10" s="1"/>
  <c r="J84" i="10"/>
  <c r="I84" i="10"/>
  <c r="K84" i="10" s="1"/>
  <c r="J83" i="10"/>
  <c r="I83" i="10"/>
  <c r="J82" i="10"/>
  <c r="I82" i="10"/>
  <c r="K82" i="10" s="1"/>
  <c r="J81" i="10"/>
  <c r="I81" i="10"/>
  <c r="K81" i="10" s="1"/>
  <c r="J80" i="10"/>
  <c r="I80" i="10"/>
  <c r="K80" i="10" s="1"/>
  <c r="J79" i="10"/>
  <c r="J78" i="10"/>
  <c r="J77" i="10"/>
  <c r="J76" i="10"/>
  <c r="N74" i="10"/>
  <c r="L74" i="10"/>
  <c r="O74" i="10" s="1"/>
  <c r="L72" i="10"/>
  <c r="L71" i="10"/>
  <c r="N70" i="10"/>
  <c r="M70" i="10"/>
  <c r="M68" i="10" s="1"/>
  <c r="P68" i="10" s="1"/>
  <c r="O69" i="10"/>
  <c r="P67" i="10"/>
  <c r="O67" i="10"/>
  <c r="N67" i="10"/>
  <c r="M67" i="10"/>
  <c r="L67" i="10"/>
  <c r="J65" i="10"/>
  <c r="I65" i="10"/>
  <c r="K65" i="10" s="1"/>
  <c r="J64" i="10"/>
  <c r="I64" i="10"/>
  <c r="K64" i="10" s="1"/>
  <c r="N61" i="10"/>
  <c r="L61" i="10"/>
  <c r="O61" i="10" s="1"/>
  <c r="L59" i="10"/>
  <c r="L58" i="10"/>
  <c r="N57" i="10"/>
  <c r="M57" i="10"/>
  <c r="P54" i="10"/>
  <c r="N54" i="10"/>
  <c r="M54" i="10"/>
  <c r="L54" i="10"/>
  <c r="N49" i="10"/>
  <c r="L49" i="10"/>
  <c r="M49" i="10" s="1"/>
  <c r="L47" i="10"/>
  <c r="L46" i="10"/>
  <c r="N45" i="10"/>
  <c r="M45" i="10"/>
  <c r="O42" i="10"/>
  <c r="N42" i="10"/>
  <c r="M42" i="10"/>
  <c r="P42" i="10" s="1"/>
  <c r="L42" i="10"/>
  <c r="P36" i="10"/>
  <c r="O36" i="10"/>
  <c r="P35" i="10"/>
  <c r="O35" i="10"/>
  <c r="P34" i="10"/>
  <c r="M34" i="10"/>
  <c r="M33" i="10"/>
  <c r="P33" i="10" s="1"/>
  <c r="M32" i="10"/>
  <c r="M31" i="10"/>
  <c r="P31" i="10" s="1"/>
  <c r="N25" i="10"/>
  <c r="M25" i="10"/>
  <c r="L25" i="10"/>
  <c r="O25" i="10" s="1"/>
  <c r="N24" i="10"/>
  <c r="M24" i="10"/>
  <c r="P24" i="10" s="1"/>
  <c r="P23" i="10"/>
  <c r="N23" i="10"/>
  <c r="M23" i="10"/>
  <c r="O21" i="10"/>
  <c r="N21" i="10"/>
  <c r="N19" i="10" s="1"/>
  <c r="M21" i="10"/>
  <c r="P21" i="10" s="1"/>
  <c r="L21" i="10"/>
  <c r="M19" i="10"/>
  <c r="L19" i="10"/>
  <c r="O19" i="10" s="1"/>
  <c r="O15" i="10"/>
  <c r="N15" i="10"/>
  <c r="L15" i="10"/>
  <c r="M14" i="10"/>
  <c r="P14" i="10" s="1"/>
  <c r="M13" i="10"/>
  <c r="P13" i="10" s="1"/>
  <c r="J677" i="9"/>
  <c r="J676" i="9"/>
  <c r="J675" i="9"/>
  <c r="J674" i="9"/>
  <c r="J673" i="9"/>
  <c r="J672" i="9"/>
  <c r="N671" i="9"/>
  <c r="L671" i="9"/>
  <c r="O671" i="9" s="1"/>
  <c r="I671" i="9"/>
  <c r="K671" i="9" s="1"/>
  <c r="J670" i="9"/>
  <c r="J669" i="9"/>
  <c r="N668" i="9"/>
  <c r="L668" i="9"/>
  <c r="O668" i="9" s="1"/>
  <c r="J668" i="9"/>
  <c r="I668" i="9"/>
  <c r="K668" i="9" s="1"/>
  <c r="J667" i="9"/>
  <c r="J666" i="9"/>
  <c r="N665" i="9"/>
  <c r="L665" i="9"/>
  <c r="O665" i="9" s="1"/>
  <c r="J665" i="9"/>
  <c r="I665" i="9"/>
  <c r="K665" i="9" s="1"/>
  <c r="J663" i="9"/>
  <c r="I663" i="9"/>
  <c r="K663" i="9" s="1"/>
  <c r="J662" i="9"/>
  <c r="N661" i="9"/>
  <c r="L661" i="9"/>
  <c r="O661" i="9" s="1"/>
  <c r="J661" i="9"/>
  <c r="J660" i="9"/>
  <c r="J659" i="9"/>
  <c r="J658" i="9"/>
  <c r="J657" i="9"/>
  <c r="J656" i="9"/>
  <c r="J655" i="9"/>
  <c r="J653" i="9"/>
  <c r="J652" i="9"/>
  <c r="N651" i="9"/>
  <c r="L651" i="9"/>
  <c r="O651" i="9" s="1"/>
  <c r="I651" i="9"/>
  <c r="K651" i="9" s="1"/>
  <c r="N650" i="9"/>
  <c r="L650" i="9"/>
  <c r="O650" i="9" s="1"/>
  <c r="J650" i="9"/>
  <c r="I650" i="9"/>
  <c r="K650" i="9" s="1"/>
  <c r="N649" i="9"/>
  <c r="L649" i="9"/>
  <c r="O649" i="9" s="1"/>
  <c r="J649" i="9"/>
  <c r="I649" i="9"/>
  <c r="K649" i="9" s="1"/>
  <c r="N648" i="9"/>
  <c r="L648" i="9"/>
  <c r="J648" i="9"/>
  <c r="I648" i="9"/>
  <c r="K648" i="9" s="1"/>
  <c r="J647" i="9"/>
  <c r="J646" i="9"/>
  <c r="O639" i="9"/>
  <c r="O637" i="9"/>
  <c r="J635" i="9"/>
  <c r="I635" i="9"/>
  <c r="J634" i="9"/>
  <c r="I634" i="9"/>
  <c r="J633" i="9"/>
  <c r="I633" i="9"/>
  <c r="K633" i="9" s="1"/>
  <c r="J632" i="9"/>
  <c r="I632" i="9"/>
  <c r="K632" i="9" s="1"/>
  <c r="J631" i="9"/>
  <c r="I631" i="9"/>
  <c r="J630" i="9"/>
  <c r="I630" i="9"/>
  <c r="J629" i="9"/>
  <c r="I629" i="9"/>
  <c r="J628" i="9"/>
  <c r="I628" i="9"/>
  <c r="J626" i="9"/>
  <c r="I626" i="9"/>
  <c r="J625" i="9"/>
  <c r="I625" i="9"/>
  <c r="J624" i="9"/>
  <c r="I624" i="9"/>
  <c r="J623" i="9"/>
  <c r="I623" i="9"/>
  <c r="J622" i="9"/>
  <c r="I622" i="9"/>
  <c r="J621" i="9"/>
  <c r="I621" i="9"/>
  <c r="J620" i="9"/>
  <c r="I620" i="9"/>
  <c r="K625" i="9" s="1"/>
  <c r="J619" i="9"/>
  <c r="I619" i="9"/>
  <c r="J618" i="9"/>
  <c r="I618" i="9"/>
  <c r="J617" i="9"/>
  <c r="I617" i="9"/>
  <c r="J616" i="9"/>
  <c r="I616" i="9"/>
  <c r="J615" i="9"/>
  <c r="I615" i="9"/>
  <c r="J614" i="9"/>
  <c r="I614" i="9"/>
  <c r="J613" i="9"/>
  <c r="I613" i="9"/>
  <c r="J612" i="9"/>
  <c r="I612" i="9"/>
  <c r="J611" i="9"/>
  <c r="I611" i="9"/>
  <c r="J610" i="9"/>
  <c r="J609" i="9"/>
  <c r="J608" i="9"/>
  <c r="J607" i="9"/>
  <c r="N605" i="9"/>
  <c r="N604" i="9"/>
  <c r="N603" i="9"/>
  <c r="N602" i="9"/>
  <c r="N601" i="9"/>
  <c r="L601" i="9"/>
  <c r="N600" i="9"/>
  <c r="L600" i="9"/>
  <c r="O600" i="9" s="1"/>
  <c r="N599" i="9"/>
  <c r="L599" i="9"/>
  <c r="N598" i="9"/>
  <c r="L598" i="9"/>
  <c r="O598" i="9" s="1"/>
  <c r="N597" i="9"/>
  <c r="L597" i="9"/>
  <c r="J597" i="9"/>
  <c r="I597" i="9"/>
  <c r="J596" i="9"/>
  <c r="I596" i="9"/>
  <c r="J595" i="9"/>
  <c r="I595" i="9"/>
  <c r="J594" i="9"/>
  <c r="I594" i="9"/>
  <c r="K594" i="9" s="1"/>
  <c r="J593" i="9"/>
  <c r="I593" i="9"/>
  <c r="J592" i="9"/>
  <c r="I592" i="9"/>
  <c r="K592" i="9" s="1"/>
  <c r="J591" i="9"/>
  <c r="I591" i="9"/>
  <c r="J590" i="9"/>
  <c r="I590" i="9"/>
  <c r="K590" i="9" s="1"/>
  <c r="J589" i="9"/>
  <c r="I589" i="9"/>
  <c r="N588" i="9"/>
  <c r="N587" i="9"/>
  <c r="N586" i="9"/>
  <c r="N585" i="9"/>
  <c r="N584" i="9"/>
  <c r="L584" i="9"/>
  <c r="N583" i="9"/>
  <c r="L583" i="9"/>
  <c r="O583" i="9" s="1"/>
  <c r="N582" i="9"/>
  <c r="L582" i="9"/>
  <c r="N581" i="9"/>
  <c r="L581" i="9"/>
  <c r="O581" i="9" s="1"/>
  <c r="N580" i="9"/>
  <c r="L580" i="9"/>
  <c r="J580" i="9"/>
  <c r="I580" i="9"/>
  <c r="J579" i="9"/>
  <c r="I579" i="9"/>
  <c r="K579" i="9" s="1"/>
  <c r="J578" i="9"/>
  <c r="I578" i="9"/>
  <c r="K578" i="9" s="1"/>
  <c r="J577" i="9"/>
  <c r="I577" i="9"/>
  <c r="K577" i="9" s="1"/>
  <c r="J576" i="9"/>
  <c r="I576" i="9"/>
  <c r="K576" i="9" s="1"/>
  <c r="J575" i="9"/>
  <c r="I575" i="9"/>
  <c r="K575" i="9" s="1"/>
  <c r="J573" i="9"/>
  <c r="I573" i="9"/>
  <c r="N572" i="9"/>
  <c r="N571" i="9"/>
  <c r="N570" i="9"/>
  <c r="N569" i="9"/>
  <c r="N568" i="9"/>
  <c r="L568" i="9"/>
  <c r="N567" i="9"/>
  <c r="L567" i="9"/>
  <c r="O567" i="9" s="1"/>
  <c r="N566" i="9"/>
  <c r="L566" i="9"/>
  <c r="N565" i="9"/>
  <c r="L565" i="9"/>
  <c r="O565" i="9" s="1"/>
  <c r="N564" i="9"/>
  <c r="L564" i="9"/>
  <c r="J564" i="9"/>
  <c r="I564" i="9"/>
  <c r="J561" i="9"/>
  <c r="I561" i="9"/>
  <c r="K561" i="9" s="1"/>
  <c r="J560" i="9"/>
  <c r="I560" i="9"/>
  <c r="K560" i="9" s="1"/>
  <c r="N559" i="9"/>
  <c r="N558" i="9"/>
  <c r="N557" i="9"/>
  <c r="N556" i="9"/>
  <c r="N555" i="9"/>
  <c r="L555" i="9"/>
  <c r="O555" i="9" s="1"/>
  <c r="N554" i="9"/>
  <c r="L554" i="9"/>
  <c r="O554" i="9" s="1"/>
  <c r="N553" i="9"/>
  <c r="L553" i="9"/>
  <c r="O553" i="9" s="1"/>
  <c r="N552" i="9"/>
  <c r="L552" i="9"/>
  <c r="O552" i="9" s="1"/>
  <c r="N551" i="9"/>
  <c r="L551" i="9"/>
  <c r="O551" i="9" s="1"/>
  <c r="J551" i="9"/>
  <c r="I551" i="9"/>
  <c r="K551" i="9" s="1"/>
  <c r="J550" i="9"/>
  <c r="J549" i="9"/>
  <c r="J548" i="9"/>
  <c r="I548" i="9"/>
  <c r="K548" i="9" s="1"/>
  <c r="J547" i="9"/>
  <c r="I547" i="9"/>
  <c r="J546" i="9"/>
  <c r="J545" i="9"/>
  <c r="J544" i="9"/>
  <c r="J543" i="9"/>
  <c r="N541" i="9"/>
  <c r="N540" i="9"/>
  <c r="N539" i="9"/>
  <c r="N538" i="9"/>
  <c r="N537" i="9"/>
  <c r="L537" i="9"/>
  <c r="N536" i="9"/>
  <c r="L536" i="9"/>
  <c r="O536" i="9" s="1"/>
  <c r="N535" i="9"/>
  <c r="L535" i="9"/>
  <c r="N534" i="9"/>
  <c r="L534" i="9"/>
  <c r="O534" i="9" s="1"/>
  <c r="N533" i="9"/>
  <c r="L533" i="9"/>
  <c r="J533" i="9"/>
  <c r="I533" i="9"/>
  <c r="J532" i="9"/>
  <c r="I532" i="9"/>
  <c r="J531" i="9"/>
  <c r="I531" i="9"/>
  <c r="J530" i="9"/>
  <c r="I530" i="9"/>
  <c r="J529" i="9"/>
  <c r="I529" i="9"/>
  <c r="J528" i="9"/>
  <c r="I528" i="9"/>
  <c r="J527" i="9"/>
  <c r="I527" i="9"/>
  <c r="J526" i="9"/>
  <c r="I526" i="9"/>
  <c r="J525" i="9"/>
  <c r="I525" i="9"/>
  <c r="J524" i="9"/>
  <c r="I524" i="9"/>
  <c r="J523" i="9"/>
  <c r="I523" i="9"/>
  <c r="J522" i="9"/>
  <c r="I522" i="9"/>
  <c r="J521" i="9"/>
  <c r="I521" i="9"/>
  <c r="J520" i="9"/>
  <c r="I520" i="9"/>
  <c r="J519" i="9"/>
  <c r="I519" i="9"/>
  <c r="J518" i="9"/>
  <c r="I518" i="9"/>
  <c r="J517" i="9"/>
  <c r="I517" i="9"/>
  <c r="J516" i="9"/>
  <c r="I516" i="9"/>
  <c r="J515" i="9"/>
  <c r="I515" i="9"/>
  <c r="K515" i="9" s="1"/>
  <c r="J514" i="9"/>
  <c r="I514" i="9"/>
  <c r="K514" i="9" s="1"/>
  <c r="J513" i="9"/>
  <c r="I513" i="9"/>
  <c r="K513" i="9" s="1"/>
  <c r="J512" i="9"/>
  <c r="I512" i="9"/>
  <c r="K512" i="9" s="1"/>
  <c r="J511" i="9"/>
  <c r="I511" i="9"/>
  <c r="K511" i="9" s="1"/>
  <c r="J510" i="9"/>
  <c r="I510" i="9"/>
  <c r="K510" i="9" s="1"/>
  <c r="J509" i="9"/>
  <c r="I509" i="9"/>
  <c r="K509" i="9" s="1"/>
  <c r="J508" i="9"/>
  <c r="I508" i="9"/>
  <c r="K508" i="9" s="1"/>
  <c r="J507" i="9"/>
  <c r="I507" i="9"/>
  <c r="K507" i="9" s="1"/>
  <c r="J506" i="9"/>
  <c r="I506" i="9"/>
  <c r="K506" i="9" s="1"/>
  <c r="J505" i="9"/>
  <c r="I505" i="9"/>
  <c r="K505" i="9" s="1"/>
  <c r="J504" i="9"/>
  <c r="I504" i="9"/>
  <c r="K504" i="9" s="1"/>
  <c r="J503" i="9"/>
  <c r="I503" i="9"/>
  <c r="K503" i="9" s="1"/>
  <c r="J502" i="9"/>
  <c r="I502" i="9"/>
  <c r="K502" i="9" s="1"/>
  <c r="J501" i="9"/>
  <c r="I501" i="9"/>
  <c r="K501" i="9" s="1"/>
  <c r="J500" i="9"/>
  <c r="I500" i="9"/>
  <c r="K500" i="9" s="1"/>
  <c r="J499" i="9"/>
  <c r="I499" i="9"/>
  <c r="J498" i="9"/>
  <c r="I498" i="9"/>
  <c r="J497" i="9"/>
  <c r="I497" i="9"/>
  <c r="J496" i="9"/>
  <c r="I496" i="9"/>
  <c r="K496" i="9" s="1"/>
  <c r="J495" i="9"/>
  <c r="I495" i="9"/>
  <c r="K495" i="9" s="1"/>
  <c r="J494" i="9"/>
  <c r="I494" i="9"/>
  <c r="K494" i="9" s="1"/>
  <c r="J493" i="9"/>
  <c r="I493" i="9"/>
  <c r="K493" i="9" s="1"/>
  <c r="J492" i="9"/>
  <c r="I492" i="9"/>
  <c r="K492" i="9" s="1"/>
  <c r="J491" i="9"/>
  <c r="I491" i="9"/>
  <c r="K491" i="9" s="1"/>
  <c r="J490" i="9"/>
  <c r="I490" i="9"/>
  <c r="K490" i="9" s="1"/>
  <c r="J489" i="9"/>
  <c r="I489" i="9"/>
  <c r="K489" i="9" s="1"/>
  <c r="J488" i="9"/>
  <c r="I488" i="9"/>
  <c r="K488" i="9" s="1"/>
  <c r="J487" i="9"/>
  <c r="I487" i="9"/>
  <c r="K487" i="9" s="1"/>
  <c r="J486" i="9"/>
  <c r="I486" i="9"/>
  <c r="K486" i="9" s="1"/>
  <c r="J485" i="9"/>
  <c r="I485" i="9"/>
  <c r="K485" i="9" s="1"/>
  <c r="J484" i="9"/>
  <c r="I484" i="9"/>
  <c r="K484" i="9" s="1"/>
  <c r="J483" i="9"/>
  <c r="I483" i="9"/>
  <c r="K483" i="9" s="1"/>
  <c r="J482" i="9"/>
  <c r="I482" i="9"/>
  <c r="J481" i="9"/>
  <c r="I481" i="9"/>
  <c r="J480" i="9"/>
  <c r="I480" i="9"/>
  <c r="K480" i="9" s="1"/>
  <c r="J479" i="9"/>
  <c r="I479" i="9"/>
  <c r="K479" i="9" s="1"/>
  <c r="J478" i="9"/>
  <c r="I478" i="9"/>
  <c r="K478" i="9" s="1"/>
  <c r="J477" i="9"/>
  <c r="I477" i="9"/>
  <c r="K477" i="9" s="1"/>
  <c r="J476" i="9"/>
  <c r="I476" i="9"/>
  <c r="K476" i="9" s="1"/>
  <c r="J475" i="9"/>
  <c r="I475" i="9"/>
  <c r="K475" i="9" s="1"/>
  <c r="J474" i="9"/>
  <c r="I474" i="9"/>
  <c r="J473" i="9"/>
  <c r="I473" i="9"/>
  <c r="J472" i="9"/>
  <c r="I472" i="9"/>
  <c r="K472" i="9" s="1"/>
  <c r="J471" i="9"/>
  <c r="I471" i="9"/>
  <c r="K471" i="9" s="1"/>
  <c r="J470" i="9"/>
  <c r="I470" i="9"/>
  <c r="K470" i="9" s="1"/>
  <c r="J469" i="9"/>
  <c r="I469" i="9"/>
  <c r="K469" i="9" s="1"/>
  <c r="J468" i="9"/>
  <c r="I468" i="9"/>
  <c r="K468" i="9" s="1"/>
  <c r="J467" i="9"/>
  <c r="I467" i="9"/>
  <c r="K467" i="9" s="1"/>
  <c r="J466" i="9"/>
  <c r="I466" i="9"/>
  <c r="J465" i="9"/>
  <c r="I465" i="9"/>
  <c r="J464" i="9"/>
  <c r="I464" i="9"/>
  <c r="N463" i="9"/>
  <c r="N462" i="9"/>
  <c r="N461" i="9"/>
  <c r="N460" i="9"/>
  <c r="N459" i="9"/>
  <c r="L459" i="9"/>
  <c r="N458" i="9"/>
  <c r="L458" i="9"/>
  <c r="O458" i="9" s="1"/>
  <c r="N457" i="9"/>
  <c r="L457" i="9"/>
  <c r="N456" i="9"/>
  <c r="L456" i="9"/>
  <c r="O456" i="9" s="1"/>
  <c r="N455" i="9"/>
  <c r="L455" i="9"/>
  <c r="J455" i="9"/>
  <c r="I455" i="9"/>
  <c r="J454" i="9"/>
  <c r="J453" i="9"/>
  <c r="J452" i="9"/>
  <c r="I452" i="9"/>
  <c r="K452" i="9" s="1"/>
  <c r="J451" i="9"/>
  <c r="I451" i="9"/>
  <c r="K451" i="9" s="1"/>
  <c r="J450" i="9"/>
  <c r="I450" i="9"/>
  <c r="J449" i="9"/>
  <c r="I449" i="9"/>
  <c r="J448" i="9"/>
  <c r="J447" i="9"/>
  <c r="J446" i="9"/>
  <c r="J445" i="9"/>
  <c r="N443" i="9"/>
  <c r="N442" i="9"/>
  <c r="N441" i="9"/>
  <c r="N440" i="9"/>
  <c r="N439" i="9"/>
  <c r="L439" i="9"/>
  <c r="N438" i="9"/>
  <c r="L438" i="9"/>
  <c r="O438" i="9" s="1"/>
  <c r="N437" i="9"/>
  <c r="L437" i="9"/>
  <c r="N436" i="9"/>
  <c r="L436" i="9"/>
  <c r="O436" i="9" s="1"/>
  <c r="N435" i="9"/>
  <c r="L435" i="9"/>
  <c r="J435" i="9"/>
  <c r="I435" i="9"/>
  <c r="J434" i="9"/>
  <c r="J433" i="9"/>
  <c r="J432" i="9"/>
  <c r="I432" i="9"/>
  <c r="J431" i="9"/>
  <c r="I431" i="9"/>
  <c r="J430" i="9"/>
  <c r="I430" i="9"/>
  <c r="J429" i="9"/>
  <c r="I429" i="9"/>
  <c r="J428" i="9"/>
  <c r="I428" i="9"/>
  <c r="J427" i="9"/>
  <c r="I427" i="9"/>
  <c r="J426" i="9"/>
  <c r="I426" i="9"/>
  <c r="J425" i="9"/>
  <c r="I425" i="9"/>
  <c r="J424" i="9"/>
  <c r="I424" i="9"/>
  <c r="J423" i="9"/>
  <c r="I423" i="9"/>
  <c r="J422" i="9"/>
  <c r="I422" i="9"/>
  <c r="J421" i="9"/>
  <c r="I421" i="9"/>
  <c r="J420" i="9"/>
  <c r="I420" i="9"/>
  <c r="J419" i="9"/>
  <c r="I419" i="9"/>
  <c r="J418" i="9"/>
  <c r="I418" i="9"/>
  <c r="J417" i="9"/>
  <c r="I417" i="9"/>
  <c r="J416" i="9"/>
  <c r="I416" i="9"/>
  <c r="J415" i="9"/>
  <c r="J414" i="9"/>
  <c r="J413" i="9"/>
  <c r="J412" i="9"/>
  <c r="N410" i="9"/>
  <c r="N409" i="9"/>
  <c r="N408" i="9"/>
  <c r="N407" i="9"/>
  <c r="N406" i="9"/>
  <c r="L406" i="9"/>
  <c r="N405" i="9"/>
  <c r="L405" i="9"/>
  <c r="N404" i="9"/>
  <c r="L404" i="9"/>
  <c r="N403" i="9"/>
  <c r="L403" i="9"/>
  <c r="O403" i="9" s="1"/>
  <c r="J402" i="9"/>
  <c r="I402" i="9"/>
  <c r="N401" i="9"/>
  <c r="L401" i="9"/>
  <c r="J401" i="9"/>
  <c r="I401" i="9"/>
  <c r="J400" i="9"/>
  <c r="J399" i="9"/>
  <c r="J398" i="9"/>
  <c r="I398" i="9"/>
  <c r="J397" i="9"/>
  <c r="I397" i="9"/>
  <c r="J396" i="9"/>
  <c r="I396" i="9"/>
  <c r="J394" i="9"/>
  <c r="J393" i="9"/>
  <c r="J392" i="9"/>
  <c r="J391" i="9"/>
  <c r="N389" i="9"/>
  <c r="N388" i="9"/>
  <c r="N387" i="9"/>
  <c r="N386" i="9"/>
  <c r="N385" i="9"/>
  <c r="L385" i="9"/>
  <c r="N384" i="9"/>
  <c r="L384" i="9"/>
  <c r="O384" i="9" s="1"/>
  <c r="N383" i="9"/>
  <c r="L383" i="9"/>
  <c r="N382" i="9"/>
  <c r="L382" i="9"/>
  <c r="O382" i="9" s="1"/>
  <c r="J381" i="9"/>
  <c r="I381" i="9"/>
  <c r="N380" i="9"/>
  <c r="L380" i="9"/>
  <c r="J380" i="9"/>
  <c r="I380" i="9"/>
  <c r="J379" i="9"/>
  <c r="J378" i="9"/>
  <c r="J377" i="9"/>
  <c r="I377" i="9"/>
  <c r="J376" i="9"/>
  <c r="I376" i="9"/>
  <c r="J375" i="9"/>
  <c r="I375" i="9"/>
  <c r="J374" i="9"/>
  <c r="I374" i="9"/>
  <c r="J373" i="9"/>
  <c r="I373" i="9"/>
  <c r="K373" i="9" s="1"/>
  <c r="J372" i="9"/>
  <c r="I372" i="9"/>
  <c r="J371" i="9"/>
  <c r="I371" i="9"/>
  <c r="K371" i="9" s="1"/>
  <c r="J370" i="9"/>
  <c r="I370" i="9"/>
  <c r="J369" i="9"/>
  <c r="I369" i="9"/>
  <c r="K369" i="9" s="1"/>
  <c r="J368" i="9"/>
  <c r="I368" i="9"/>
  <c r="J367" i="9"/>
  <c r="J366" i="9"/>
  <c r="J365" i="9"/>
  <c r="I365" i="9"/>
  <c r="K365" i="9" s="1"/>
  <c r="J364" i="9"/>
  <c r="J363" i="9"/>
  <c r="J362" i="9"/>
  <c r="J361" i="9"/>
  <c r="J360" i="9"/>
  <c r="N358" i="9"/>
  <c r="N357" i="9"/>
  <c r="N356" i="9"/>
  <c r="N355" i="9"/>
  <c r="N354" i="9"/>
  <c r="L354" i="9"/>
  <c r="N353" i="9"/>
  <c r="L353" i="9"/>
  <c r="O353" i="9" s="1"/>
  <c r="N352" i="9"/>
  <c r="L352" i="9"/>
  <c r="N351" i="9"/>
  <c r="L351" i="9"/>
  <c r="J350" i="9"/>
  <c r="I350" i="9"/>
  <c r="N349" i="9"/>
  <c r="L349" i="9"/>
  <c r="J349" i="9"/>
  <c r="I349" i="9"/>
  <c r="N347" i="9"/>
  <c r="L347" i="9"/>
  <c r="J346" i="9"/>
  <c r="I346" i="9"/>
  <c r="K346" i="9" s="1"/>
  <c r="J345" i="9"/>
  <c r="I345" i="9"/>
  <c r="J344" i="9"/>
  <c r="I344" i="9"/>
  <c r="K344" i="9" s="1"/>
  <c r="J343" i="9"/>
  <c r="I343" i="9"/>
  <c r="J342" i="9"/>
  <c r="I342" i="9"/>
  <c r="K342" i="9" s="1"/>
  <c r="J341" i="9"/>
  <c r="I341" i="9"/>
  <c r="J340" i="9"/>
  <c r="I340" i="9"/>
  <c r="J339" i="9"/>
  <c r="I339" i="9"/>
  <c r="K339" i="9" s="1"/>
  <c r="N337" i="9"/>
  <c r="L337" i="9"/>
  <c r="M337" i="9" s="1"/>
  <c r="L335" i="9"/>
  <c r="L334" i="9"/>
  <c r="N333" i="9"/>
  <c r="M333" i="9"/>
  <c r="O332" i="9"/>
  <c r="N330" i="9"/>
  <c r="M330" i="9"/>
  <c r="P330" i="9" s="1"/>
  <c r="L330" i="9"/>
  <c r="J328" i="9"/>
  <c r="I328" i="9"/>
  <c r="J326" i="9"/>
  <c r="J325" i="9"/>
  <c r="J324" i="9"/>
  <c r="I324" i="9"/>
  <c r="K324" i="9" s="1"/>
  <c r="J323" i="9"/>
  <c r="J322" i="9"/>
  <c r="J321" i="9"/>
  <c r="J320" i="9"/>
  <c r="N318" i="9"/>
  <c r="L318" i="9"/>
  <c r="O318" i="9" s="1"/>
  <c r="L316" i="9"/>
  <c r="L315" i="9"/>
  <c r="N314" i="9"/>
  <c r="M314" i="9"/>
  <c r="M312" i="9" s="1"/>
  <c r="P312" i="9" s="1"/>
  <c r="O313" i="9"/>
  <c r="O311" i="9"/>
  <c r="N311" i="9"/>
  <c r="M311" i="9"/>
  <c r="L311" i="9"/>
  <c r="J309" i="9"/>
  <c r="I309" i="9"/>
  <c r="K309" i="9" s="1"/>
  <c r="J308" i="9"/>
  <c r="J307" i="9"/>
  <c r="J306" i="9"/>
  <c r="I306" i="9"/>
  <c r="K306" i="9" s="1"/>
  <c r="J304" i="9"/>
  <c r="I304" i="9"/>
  <c r="K304" i="9" s="1"/>
  <c r="J303" i="9"/>
  <c r="J302" i="9"/>
  <c r="J301" i="9"/>
  <c r="J300" i="9"/>
  <c r="N298" i="9"/>
  <c r="L298" i="9"/>
  <c r="L296" i="9"/>
  <c r="L295" i="9"/>
  <c r="N294" i="9"/>
  <c r="M294" i="9"/>
  <c r="O293" i="9"/>
  <c r="N291" i="9"/>
  <c r="M291" i="9"/>
  <c r="L291" i="9"/>
  <c r="J289" i="9"/>
  <c r="I289" i="9"/>
  <c r="K289" i="9" s="1"/>
  <c r="J287" i="9"/>
  <c r="J286" i="9"/>
  <c r="J285" i="9"/>
  <c r="I285" i="9"/>
  <c r="K285" i="9" s="1"/>
  <c r="J284" i="9"/>
  <c r="J283" i="9"/>
  <c r="J282" i="9"/>
  <c r="J281" i="9"/>
  <c r="N279" i="9"/>
  <c r="L279" i="9"/>
  <c r="O279" i="9" s="1"/>
  <c r="L277" i="9"/>
  <c r="L276" i="9"/>
  <c r="N275" i="9"/>
  <c r="M275" i="9"/>
  <c r="P275" i="9" s="1"/>
  <c r="O274" i="9"/>
  <c r="O272" i="9"/>
  <c r="N272" i="9"/>
  <c r="M272" i="9"/>
  <c r="P272" i="9" s="1"/>
  <c r="L272" i="9"/>
  <c r="J270" i="9"/>
  <c r="I270" i="9"/>
  <c r="K270" i="9" s="1"/>
  <c r="J269" i="9"/>
  <c r="J268" i="9"/>
  <c r="J267" i="9"/>
  <c r="I267" i="9"/>
  <c r="J266" i="9"/>
  <c r="I266" i="9"/>
  <c r="J265" i="9"/>
  <c r="I265" i="9"/>
  <c r="J264" i="9"/>
  <c r="I264" i="9"/>
  <c r="J263" i="9"/>
  <c r="J262" i="9"/>
  <c r="J261" i="9"/>
  <c r="J260" i="9"/>
  <c r="N258" i="9"/>
  <c r="L258" i="9"/>
  <c r="O258" i="9" s="1"/>
  <c r="L256" i="9"/>
  <c r="L255" i="9"/>
  <c r="N254" i="9"/>
  <c r="M254" i="9"/>
  <c r="M252" i="9" s="1"/>
  <c r="O253" i="9"/>
  <c r="N251" i="9"/>
  <c r="M251" i="9"/>
  <c r="L251" i="9"/>
  <c r="O251" i="9" s="1"/>
  <c r="J249" i="9"/>
  <c r="I249" i="9"/>
  <c r="J246" i="9"/>
  <c r="J245" i="9"/>
  <c r="J244" i="9"/>
  <c r="I244" i="9"/>
  <c r="K244" i="9" s="1"/>
  <c r="J243" i="9"/>
  <c r="J242" i="9"/>
  <c r="J241" i="9"/>
  <c r="J240" i="9"/>
  <c r="J238" i="9"/>
  <c r="I238" i="9"/>
  <c r="J237" i="9"/>
  <c r="J236" i="9"/>
  <c r="J235" i="9"/>
  <c r="I235" i="9"/>
  <c r="J234" i="9"/>
  <c r="J233" i="9"/>
  <c r="J232" i="9"/>
  <c r="J231" i="9"/>
  <c r="J229" i="9"/>
  <c r="I229" i="9"/>
  <c r="N228" i="9"/>
  <c r="L228" i="9"/>
  <c r="L226" i="9"/>
  <c r="L225" i="9"/>
  <c r="N224" i="9"/>
  <c r="M224" i="9"/>
  <c r="O223" i="9"/>
  <c r="N221" i="9"/>
  <c r="M221" i="9"/>
  <c r="L221" i="9"/>
  <c r="J219" i="9"/>
  <c r="I219" i="9"/>
  <c r="J218" i="9"/>
  <c r="J217" i="9"/>
  <c r="J216" i="9"/>
  <c r="I216" i="9"/>
  <c r="K216" i="9" s="1"/>
  <c r="J215" i="9"/>
  <c r="I215" i="9"/>
  <c r="K215" i="9" s="1"/>
  <c r="J213" i="9"/>
  <c r="I213" i="9"/>
  <c r="K213" i="9" s="1"/>
  <c r="J212" i="9"/>
  <c r="J211" i="9"/>
  <c r="J210" i="9"/>
  <c r="J209" i="9"/>
  <c r="J204" i="9"/>
  <c r="I204" i="9"/>
  <c r="K204" i="9" s="1"/>
  <c r="J203" i="9"/>
  <c r="J202" i="9"/>
  <c r="J201" i="9"/>
  <c r="I201" i="9"/>
  <c r="K201" i="9" s="1"/>
  <c r="J200" i="9"/>
  <c r="I200" i="9"/>
  <c r="J199" i="9"/>
  <c r="I199" i="9"/>
  <c r="J197" i="9"/>
  <c r="J196" i="9"/>
  <c r="J195" i="9"/>
  <c r="J194" i="9"/>
  <c r="J189" i="9"/>
  <c r="I189" i="9"/>
  <c r="J188" i="9"/>
  <c r="J187" i="9"/>
  <c r="J186" i="9"/>
  <c r="I186" i="9"/>
  <c r="K186" i="9" s="1"/>
  <c r="J185" i="9"/>
  <c r="I185" i="9"/>
  <c r="K185" i="9" s="1"/>
  <c r="J184" i="9"/>
  <c r="J183" i="9"/>
  <c r="J182" i="9"/>
  <c r="J181" i="9"/>
  <c r="J176" i="9"/>
  <c r="I176" i="9"/>
  <c r="K176" i="9" s="1"/>
  <c r="J175" i="9"/>
  <c r="J174" i="9"/>
  <c r="J173" i="9"/>
  <c r="I173" i="9"/>
  <c r="J172" i="9"/>
  <c r="J171" i="9"/>
  <c r="J170" i="9"/>
  <c r="J169" i="9"/>
  <c r="J164" i="9"/>
  <c r="I164" i="9"/>
  <c r="J163" i="9"/>
  <c r="J162" i="9"/>
  <c r="J161" i="9"/>
  <c r="J160" i="9"/>
  <c r="J159" i="9"/>
  <c r="J158" i="9"/>
  <c r="I158" i="9"/>
  <c r="J157" i="9"/>
  <c r="J156" i="9"/>
  <c r="J155" i="9"/>
  <c r="J154" i="9"/>
  <c r="J149" i="9"/>
  <c r="I149" i="9"/>
  <c r="N148" i="9"/>
  <c r="L148" i="9"/>
  <c r="O148" i="9" s="1"/>
  <c r="L146" i="9"/>
  <c r="L145" i="9"/>
  <c r="N144" i="9"/>
  <c r="M144" i="9"/>
  <c r="M142" i="9" s="1"/>
  <c r="O143" i="9"/>
  <c r="P141" i="9"/>
  <c r="N141" i="9"/>
  <c r="M141" i="9"/>
  <c r="L141" i="9"/>
  <c r="J138" i="9"/>
  <c r="I138" i="9"/>
  <c r="K138" i="9" s="1"/>
  <c r="J135" i="9"/>
  <c r="J134" i="9"/>
  <c r="J133" i="9"/>
  <c r="I133" i="9"/>
  <c r="K133" i="9" s="1"/>
  <c r="J132" i="9"/>
  <c r="I132" i="9"/>
  <c r="K132" i="9" s="1"/>
  <c r="J131" i="9"/>
  <c r="J130" i="9"/>
  <c r="J129" i="9"/>
  <c r="J128" i="9"/>
  <c r="N126" i="9"/>
  <c r="L126" i="9"/>
  <c r="O126" i="9" s="1"/>
  <c r="L124" i="9"/>
  <c r="L123" i="9"/>
  <c r="N122" i="9"/>
  <c r="M122" i="9"/>
  <c r="O121" i="9"/>
  <c r="P119" i="9"/>
  <c r="O119" i="9"/>
  <c r="N119" i="9"/>
  <c r="M119" i="9"/>
  <c r="L119" i="9"/>
  <c r="J117" i="9"/>
  <c r="I117" i="9"/>
  <c r="K117" i="9" s="1"/>
  <c r="J115" i="9"/>
  <c r="J114" i="9"/>
  <c r="J113" i="9"/>
  <c r="I113" i="9"/>
  <c r="J112" i="9"/>
  <c r="I112" i="9"/>
  <c r="J111" i="9"/>
  <c r="I111" i="9"/>
  <c r="J110" i="9"/>
  <c r="I110" i="9"/>
  <c r="J109" i="9"/>
  <c r="I109" i="9"/>
  <c r="J108" i="9"/>
  <c r="I108" i="9"/>
  <c r="J107" i="9"/>
  <c r="J106" i="9"/>
  <c r="J105" i="9"/>
  <c r="J104" i="9"/>
  <c r="N102" i="9"/>
  <c r="L102" i="9"/>
  <c r="M102" i="9" s="1"/>
  <c r="L100" i="9"/>
  <c r="L99" i="9"/>
  <c r="N98" i="9"/>
  <c r="M98" i="9"/>
  <c r="O97" i="9"/>
  <c r="N95" i="9"/>
  <c r="M95" i="9"/>
  <c r="P95" i="9" s="1"/>
  <c r="L95" i="9"/>
  <c r="O95" i="9" s="1"/>
  <c r="J93" i="9"/>
  <c r="I93" i="9"/>
  <c r="J92" i="9"/>
  <c r="I92" i="9"/>
  <c r="J90" i="9"/>
  <c r="J89" i="9"/>
  <c r="J88" i="9"/>
  <c r="I88" i="9"/>
  <c r="J87" i="9"/>
  <c r="I87" i="9"/>
  <c r="K87" i="9" s="1"/>
  <c r="J86" i="9"/>
  <c r="I86" i="9"/>
  <c r="K86" i="9" s="1"/>
  <c r="J85" i="9"/>
  <c r="I85" i="9"/>
  <c r="K85" i="9" s="1"/>
  <c r="J84" i="9"/>
  <c r="I84" i="9"/>
  <c r="K84" i="9" s="1"/>
  <c r="J83" i="9"/>
  <c r="I83" i="9"/>
  <c r="J82" i="9"/>
  <c r="I82" i="9"/>
  <c r="J81" i="9"/>
  <c r="I81" i="9"/>
  <c r="J80" i="9"/>
  <c r="I80" i="9"/>
  <c r="J79" i="9"/>
  <c r="J78" i="9"/>
  <c r="J77" i="9"/>
  <c r="J76" i="9"/>
  <c r="N74" i="9"/>
  <c r="L74" i="9"/>
  <c r="O74" i="9" s="1"/>
  <c r="L72" i="9"/>
  <c r="L71" i="9"/>
  <c r="N70" i="9"/>
  <c r="M70" i="9"/>
  <c r="M68" i="9" s="1"/>
  <c r="M66" i="9" s="1"/>
  <c r="O69" i="9"/>
  <c r="P67" i="9"/>
  <c r="O67" i="9"/>
  <c r="N67" i="9"/>
  <c r="M67" i="9"/>
  <c r="L67" i="9"/>
  <c r="J65" i="9"/>
  <c r="I65" i="9"/>
  <c r="J64" i="9"/>
  <c r="I64" i="9"/>
  <c r="N61" i="9"/>
  <c r="L61" i="9"/>
  <c r="L59" i="9"/>
  <c r="L58" i="9"/>
  <c r="N57" i="9"/>
  <c r="M57" i="9"/>
  <c r="O54" i="9"/>
  <c r="N54" i="9"/>
  <c r="M54" i="9"/>
  <c r="P54" i="9" s="1"/>
  <c r="L54" i="9"/>
  <c r="N49" i="9"/>
  <c r="L49" i="9"/>
  <c r="O49" i="9" s="1"/>
  <c r="L47" i="9"/>
  <c r="L46" i="9"/>
  <c r="N45" i="9"/>
  <c r="M45" i="9"/>
  <c r="M43" i="9" s="1"/>
  <c r="P42" i="9"/>
  <c r="N42" i="9"/>
  <c r="M42" i="9"/>
  <c r="L42" i="9"/>
  <c r="P36" i="9"/>
  <c r="O36" i="9"/>
  <c r="P35" i="9"/>
  <c r="O35" i="9"/>
  <c r="M34" i="9"/>
  <c r="M33" i="9"/>
  <c r="P33" i="9" s="1"/>
  <c r="M32" i="9"/>
  <c r="P32" i="9" s="1"/>
  <c r="P31" i="9"/>
  <c r="M31" i="9"/>
  <c r="P29" i="9"/>
  <c r="M29" i="9"/>
  <c r="N25" i="9"/>
  <c r="M25" i="9"/>
  <c r="P25" i="9" s="1"/>
  <c r="L25" i="9"/>
  <c r="O25" i="9" s="1"/>
  <c r="P24" i="9"/>
  <c r="N24" i="9"/>
  <c r="M24" i="9"/>
  <c r="N23" i="9"/>
  <c r="M23" i="9"/>
  <c r="P23" i="9" s="1"/>
  <c r="N21" i="9"/>
  <c r="N19" i="9" s="1"/>
  <c r="M21" i="9"/>
  <c r="L21" i="9"/>
  <c r="O21" i="9" s="1"/>
  <c r="L19" i="9"/>
  <c r="O15" i="9"/>
  <c r="N15" i="9"/>
  <c r="M15" i="9"/>
  <c r="P15" i="9" s="1"/>
  <c r="L15" i="9"/>
  <c r="M13" i="9"/>
  <c r="P13" i="9" s="1"/>
  <c r="J677" i="8"/>
  <c r="J676" i="8"/>
  <c r="J675" i="8"/>
  <c r="J674" i="8"/>
  <c r="J673" i="8"/>
  <c r="J672" i="8"/>
  <c r="N671" i="8"/>
  <c r="L671" i="8"/>
  <c r="O671" i="8" s="1"/>
  <c r="I671" i="8"/>
  <c r="K671" i="8" s="1"/>
  <c r="J670" i="8"/>
  <c r="J669" i="8"/>
  <c r="N668" i="8"/>
  <c r="L668" i="8"/>
  <c r="O668" i="8" s="1"/>
  <c r="J668" i="8"/>
  <c r="I668" i="8"/>
  <c r="K668" i="8" s="1"/>
  <c r="J667" i="8"/>
  <c r="J666" i="8"/>
  <c r="N665" i="8"/>
  <c r="L665" i="8"/>
  <c r="O665" i="8" s="1"/>
  <c r="J665" i="8"/>
  <c r="I665" i="8"/>
  <c r="K665" i="8" s="1"/>
  <c r="J663" i="8"/>
  <c r="I663" i="8"/>
  <c r="K663" i="8" s="1"/>
  <c r="J662" i="8"/>
  <c r="N661" i="8"/>
  <c r="L661" i="8"/>
  <c r="O661" i="8" s="1"/>
  <c r="J661" i="8"/>
  <c r="J660" i="8"/>
  <c r="J659" i="8"/>
  <c r="J658" i="8"/>
  <c r="J657" i="8"/>
  <c r="J656" i="8"/>
  <c r="J655" i="8"/>
  <c r="J653" i="8"/>
  <c r="J652" i="8"/>
  <c r="N651" i="8"/>
  <c r="L651" i="8"/>
  <c r="O651" i="8" s="1"/>
  <c r="I651" i="8"/>
  <c r="K651" i="8" s="1"/>
  <c r="N650" i="8"/>
  <c r="L650" i="8"/>
  <c r="J650" i="8"/>
  <c r="I650" i="8"/>
  <c r="N649" i="8"/>
  <c r="L649" i="8"/>
  <c r="O649" i="8" s="1"/>
  <c r="J649" i="8"/>
  <c r="I649" i="8"/>
  <c r="K649" i="8" s="1"/>
  <c r="N648" i="8"/>
  <c r="L648" i="8"/>
  <c r="J648" i="8"/>
  <c r="I648" i="8"/>
  <c r="K648" i="8" s="1"/>
  <c r="J647" i="8"/>
  <c r="J646" i="8"/>
  <c r="O639" i="8"/>
  <c r="O637" i="8"/>
  <c r="J635" i="8"/>
  <c r="I635" i="8"/>
  <c r="J634" i="8"/>
  <c r="I634" i="8"/>
  <c r="J633" i="8"/>
  <c r="I633" i="8"/>
  <c r="J632" i="8"/>
  <c r="I632" i="8"/>
  <c r="J631" i="8"/>
  <c r="I631" i="8"/>
  <c r="J630" i="8"/>
  <c r="I630" i="8"/>
  <c r="J629" i="8"/>
  <c r="I629" i="8"/>
  <c r="J628" i="8"/>
  <c r="I628" i="8"/>
  <c r="J626" i="8"/>
  <c r="I626" i="8"/>
  <c r="J625" i="8"/>
  <c r="I625" i="8"/>
  <c r="J624" i="8"/>
  <c r="I624" i="8"/>
  <c r="J623" i="8"/>
  <c r="I623" i="8"/>
  <c r="J622" i="8"/>
  <c r="I622" i="8"/>
  <c r="J621" i="8"/>
  <c r="I621" i="8"/>
  <c r="J620" i="8"/>
  <c r="I620" i="8"/>
  <c r="K624" i="8" s="1"/>
  <c r="J619" i="8"/>
  <c r="I619" i="8"/>
  <c r="J618" i="8"/>
  <c r="I618" i="8"/>
  <c r="J617" i="8"/>
  <c r="I617" i="8"/>
  <c r="J616" i="8"/>
  <c r="I616" i="8"/>
  <c r="J615" i="8"/>
  <c r="I615" i="8"/>
  <c r="J614" i="8"/>
  <c r="I614" i="8"/>
  <c r="J613" i="8"/>
  <c r="I613" i="8"/>
  <c r="J612" i="8"/>
  <c r="I612" i="8"/>
  <c r="J611" i="8"/>
  <c r="I611" i="8"/>
  <c r="J610" i="8"/>
  <c r="J609" i="8"/>
  <c r="J608" i="8"/>
  <c r="J607" i="8"/>
  <c r="N605" i="8"/>
  <c r="N604" i="8"/>
  <c r="N603" i="8"/>
  <c r="N602" i="8"/>
  <c r="N601" i="8"/>
  <c r="L601" i="8"/>
  <c r="N600" i="8"/>
  <c r="L600" i="8"/>
  <c r="O600" i="8" s="1"/>
  <c r="N599" i="8"/>
  <c r="L599" i="8"/>
  <c r="N598" i="8"/>
  <c r="L598" i="8"/>
  <c r="N597" i="8"/>
  <c r="L597" i="8"/>
  <c r="J597" i="8"/>
  <c r="I597" i="8"/>
  <c r="J596" i="8"/>
  <c r="I596" i="8"/>
  <c r="K596" i="8" s="1"/>
  <c r="J595" i="8"/>
  <c r="I595" i="8"/>
  <c r="K595" i="8" s="1"/>
  <c r="J594" i="8"/>
  <c r="I594" i="8"/>
  <c r="K594" i="8" s="1"/>
  <c r="J593" i="8"/>
  <c r="I593" i="8"/>
  <c r="K593" i="8" s="1"/>
  <c r="J592" i="8"/>
  <c r="I592" i="8"/>
  <c r="K592" i="8" s="1"/>
  <c r="J591" i="8"/>
  <c r="I591" i="8"/>
  <c r="K591" i="8" s="1"/>
  <c r="J590" i="8"/>
  <c r="I590" i="8"/>
  <c r="K590" i="8" s="1"/>
  <c r="J589" i="8"/>
  <c r="I589" i="8"/>
  <c r="K589" i="8" s="1"/>
  <c r="N588" i="8"/>
  <c r="N587" i="8"/>
  <c r="N586" i="8"/>
  <c r="N585" i="8"/>
  <c r="N584" i="8"/>
  <c r="L584" i="8"/>
  <c r="O584" i="8" s="1"/>
  <c r="N583" i="8"/>
  <c r="L583" i="8"/>
  <c r="O583" i="8" s="1"/>
  <c r="N582" i="8"/>
  <c r="L582" i="8"/>
  <c r="O582" i="8" s="1"/>
  <c r="N581" i="8"/>
  <c r="L581" i="8"/>
  <c r="O581" i="8" s="1"/>
  <c r="N580" i="8"/>
  <c r="L580" i="8"/>
  <c r="O580" i="8" s="1"/>
  <c r="J580" i="8"/>
  <c r="I580" i="8"/>
  <c r="K580" i="8" s="1"/>
  <c r="J579" i="8"/>
  <c r="I579" i="8"/>
  <c r="K579" i="8" s="1"/>
  <c r="J578" i="8"/>
  <c r="I578" i="8"/>
  <c r="K578" i="8" s="1"/>
  <c r="J577" i="8"/>
  <c r="I577" i="8"/>
  <c r="K577" i="8" s="1"/>
  <c r="J576" i="8"/>
  <c r="I576" i="8"/>
  <c r="K576" i="8" s="1"/>
  <c r="J575" i="8"/>
  <c r="I575" i="8"/>
  <c r="K575" i="8" s="1"/>
  <c r="J573" i="8"/>
  <c r="I573" i="8"/>
  <c r="N572" i="8"/>
  <c r="N571" i="8"/>
  <c r="N570" i="8"/>
  <c r="N569" i="8"/>
  <c r="N568" i="8"/>
  <c r="L568" i="8"/>
  <c r="N567" i="8"/>
  <c r="L567" i="8"/>
  <c r="O567" i="8" s="1"/>
  <c r="N566" i="8"/>
  <c r="L566" i="8"/>
  <c r="N565" i="8"/>
  <c r="L565" i="8"/>
  <c r="O565" i="8" s="1"/>
  <c r="N564" i="8"/>
  <c r="L564" i="8"/>
  <c r="J564" i="8"/>
  <c r="I564" i="8"/>
  <c r="J561" i="8"/>
  <c r="I561" i="8"/>
  <c r="K561" i="8" s="1"/>
  <c r="J560" i="8"/>
  <c r="I560" i="8"/>
  <c r="K560" i="8" s="1"/>
  <c r="N559" i="8"/>
  <c r="N558" i="8"/>
  <c r="N557" i="8"/>
  <c r="N556" i="8"/>
  <c r="N555" i="8"/>
  <c r="L555" i="8"/>
  <c r="O555" i="8" s="1"/>
  <c r="N554" i="8"/>
  <c r="L554" i="8"/>
  <c r="O554" i="8" s="1"/>
  <c r="N553" i="8"/>
  <c r="L553" i="8"/>
  <c r="O553" i="8" s="1"/>
  <c r="N552" i="8"/>
  <c r="L552" i="8"/>
  <c r="O552" i="8" s="1"/>
  <c r="N551" i="8"/>
  <c r="L551" i="8"/>
  <c r="O551" i="8" s="1"/>
  <c r="J551" i="8"/>
  <c r="I551" i="8"/>
  <c r="K551" i="8" s="1"/>
  <c r="J550" i="8"/>
  <c r="J549" i="8"/>
  <c r="J548" i="8"/>
  <c r="I548" i="8"/>
  <c r="K548" i="8" s="1"/>
  <c r="J547" i="8"/>
  <c r="I547" i="8"/>
  <c r="J546" i="8"/>
  <c r="J545" i="8"/>
  <c r="J544" i="8"/>
  <c r="J543" i="8"/>
  <c r="N541" i="8"/>
  <c r="N540" i="8"/>
  <c r="N539" i="8"/>
  <c r="N538" i="8"/>
  <c r="N537" i="8"/>
  <c r="L537" i="8"/>
  <c r="N536" i="8"/>
  <c r="L536" i="8"/>
  <c r="O536" i="8" s="1"/>
  <c r="N535" i="8"/>
  <c r="L535" i="8"/>
  <c r="N534" i="8"/>
  <c r="L534" i="8"/>
  <c r="O534" i="8" s="1"/>
  <c r="N533" i="8"/>
  <c r="L533" i="8"/>
  <c r="J533" i="8"/>
  <c r="I533" i="8"/>
  <c r="J532" i="8"/>
  <c r="I532" i="8"/>
  <c r="J531" i="8"/>
  <c r="I531" i="8"/>
  <c r="J530" i="8"/>
  <c r="I530" i="8"/>
  <c r="J529" i="8"/>
  <c r="I529" i="8"/>
  <c r="J528" i="8"/>
  <c r="I528" i="8"/>
  <c r="J527" i="8"/>
  <c r="I527" i="8"/>
  <c r="J526" i="8"/>
  <c r="I526" i="8"/>
  <c r="J525" i="8"/>
  <c r="I525" i="8"/>
  <c r="J524" i="8"/>
  <c r="I524" i="8"/>
  <c r="J523" i="8"/>
  <c r="I523" i="8"/>
  <c r="J522" i="8"/>
  <c r="I522" i="8"/>
  <c r="J521" i="8"/>
  <c r="I521" i="8"/>
  <c r="J520" i="8"/>
  <c r="I520" i="8"/>
  <c r="J519" i="8"/>
  <c r="I519" i="8"/>
  <c r="J518" i="8"/>
  <c r="I518" i="8"/>
  <c r="J517" i="8"/>
  <c r="I517" i="8"/>
  <c r="J516" i="8"/>
  <c r="I516" i="8"/>
  <c r="J515" i="8"/>
  <c r="I515" i="8"/>
  <c r="K515" i="8" s="1"/>
  <c r="J514" i="8"/>
  <c r="I514" i="8"/>
  <c r="K514" i="8" s="1"/>
  <c r="J513" i="8"/>
  <c r="I513" i="8"/>
  <c r="K513" i="8" s="1"/>
  <c r="J512" i="8"/>
  <c r="I512" i="8"/>
  <c r="K512" i="8" s="1"/>
  <c r="J511" i="8"/>
  <c r="I511" i="8"/>
  <c r="K511" i="8" s="1"/>
  <c r="J510" i="8"/>
  <c r="I510" i="8"/>
  <c r="K510" i="8" s="1"/>
  <c r="J509" i="8"/>
  <c r="I509" i="8"/>
  <c r="K509" i="8" s="1"/>
  <c r="J508" i="8"/>
  <c r="I508" i="8"/>
  <c r="K508" i="8" s="1"/>
  <c r="J507" i="8"/>
  <c r="I507" i="8"/>
  <c r="K507" i="8" s="1"/>
  <c r="J506" i="8"/>
  <c r="I506" i="8"/>
  <c r="K506" i="8" s="1"/>
  <c r="J505" i="8"/>
  <c r="I505" i="8"/>
  <c r="K505" i="8" s="1"/>
  <c r="J504" i="8"/>
  <c r="I504" i="8"/>
  <c r="K504" i="8" s="1"/>
  <c r="J503" i="8"/>
  <c r="I503" i="8"/>
  <c r="K503" i="8" s="1"/>
  <c r="J502" i="8"/>
  <c r="I502" i="8"/>
  <c r="K502" i="8" s="1"/>
  <c r="J501" i="8"/>
  <c r="I501" i="8"/>
  <c r="K501" i="8" s="1"/>
  <c r="J500" i="8"/>
  <c r="I500" i="8"/>
  <c r="K500" i="8" s="1"/>
  <c r="J499" i="8"/>
  <c r="I499" i="8"/>
  <c r="J498" i="8"/>
  <c r="I498" i="8"/>
  <c r="J497" i="8"/>
  <c r="I497" i="8"/>
  <c r="J496" i="8"/>
  <c r="I496" i="8"/>
  <c r="K496" i="8" s="1"/>
  <c r="J495" i="8"/>
  <c r="I495" i="8"/>
  <c r="K495" i="8" s="1"/>
  <c r="J494" i="8"/>
  <c r="I494" i="8"/>
  <c r="K494" i="8" s="1"/>
  <c r="J493" i="8"/>
  <c r="I493" i="8"/>
  <c r="K493" i="8" s="1"/>
  <c r="J492" i="8"/>
  <c r="I492" i="8"/>
  <c r="K492" i="8" s="1"/>
  <c r="J491" i="8"/>
  <c r="I491" i="8"/>
  <c r="K491" i="8" s="1"/>
  <c r="J490" i="8"/>
  <c r="I490" i="8"/>
  <c r="K490" i="8" s="1"/>
  <c r="J489" i="8"/>
  <c r="I489" i="8"/>
  <c r="K489" i="8" s="1"/>
  <c r="J488" i="8"/>
  <c r="I488" i="8"/>
  <c r="K488" i="8" s="1"/>
  <c r="J487" i="8"/>
  <c r="I487" i="8"/>
  <c r="K487" i="8" s="1"/>
  <c r="J486" i="8"/>
  <c r="I486" i="8"/>
  <c r="K486" i="8" s="1"/>
  <c r="J485" i="8"/>
  <c r="I485" i="8"/>
  <c r="K485" i="8" s="1"/>
  <c r="J484" i="8"/>
  <c r="I484" i="8"/>
  <c r="K484" i="8" s="1"/>
  <c r="J483" i="8"/>
  <c r="I483" i="8"/>
  <c r="K483" i="8" s="1"/>
  <c r="J482" i="8"/>
  <c r="I482" i="8"/>
  <c r="J481" i="8"/>
  <c r="I481" i="8"/>
  <c r="J480" i="8"/>
  <c r="I480" i="8"/>
  <c r="K480" i="8" s="1"/>
  <c r="J479" i="8"/>
  <c r="I479" i="8"/>
  <c r="K479" i="8" s="1"/>
  <c r="J478" i="8"/>
  <c r="I478" i="8"/>
  <c r="K478" i="8" s="1"/>
  <c r="J477" i="8"/>
  <c r="I477" i="8"/>
  <c r="K477" i="8" s="1"/>
  <c r="J476" i="8"/>
  <c r="I476" i="8"/>
  <c r="K476" i="8" s="1"/>
  <c r="J475" i="8"/>
  <c r="I475" i="8"/>
  <c r="K475" i="8" s="1"/>
  <c r="J474" i="8"/>
  <c r="I474" i="8"/>
  <c r="J473" i="8"/>
  <c r="I473" i="8"/>
  <c r="J472" i="8"/>
  <c r="I472" i="8"/>
  <c r="K472" i="8" s="1"/>
  <c r="J471" i="8"/>
  <c r="I471" i="8"/>
  <c r="K471" i="8" s="1"/>
  <c r="J470" i="8"/>
  <c r="I470" i="8"/>
  <c r="K470" i="8" s="1"/>
  <c r="J469" i="8"/>
  <c r="I469" i="8"/>
  <c r="K469" i="8" s="1"/>
  <c r="J468" i="8"/>
  <c r="I468" i="8"/>
  <c r="K468" i="8" s="1"/>
  <c r="J467" i="8"/>
  <c r="I467" i="8"/>
  <c r="K467" i="8" s="1"/>
  <c r="J466" i="8"/>
  <c r="I466" i="8"/>
  <c r="J465" i="8"/>
  <c r="I465" i="8"/>
  <c r="J464" i="8"/>
  <c r="I464" i="8"/>
  <c r="N463" i="8"/>
  <c r="N462" i="8"/>
  <c r="N461" i="8"/>
  <c r="N460" i="8"/>
  <c r="N459" i="8"/>
  <c r="L459" i="8"/>
  <c r="N458" i="8"/>
  <c r="L458" i="8"/>
  <c r="O458" i="8" s="1"/>
  <c r="N457" i="8"/>
  <c r="L457" i="8"/>
  <c r="N456" i="8"/>
  <c r="L456" i="8"/>
  <c r="O456" i="8" s="1"/>
  <c r="N455" i="8"/>
  <c r="L455" i="8"/>
  <c r="J455" i="8"/>
  <c r="I455" i="8"/>
  <c r="J454" i="8"/>
  <c r="J453" i="8"/>
  <c r="J452" i="8"/>
  <c r="I452" i="8"/>
  <c r="K452" i="8" s="1"/>
  <c r="J451" i="8"/>
  <c r="I451" i="8"/>
  <c r="K451" i="8" s="1"/>
  <c r="J450" i="8"/>
  <c r="I450" i="8"/>
  <c r="J449" i="8"/>
  <c r="I449" i="8"/>
  <c r="J448" i="8"/>
  <c r="J447" i="8"/>
  <c r="J446" i="8"/>
  <c r="J445" i="8"/>
  <c r="N443" i="8"/>
  <c r="N442" i="8"/>
  <c r="N441" i="8"/>
  <c r="N440" i="8"/>
  <c r="N439" i="8"/>
  <c r="L439" i="8"/>
  <c r="N438" i="8"/>
  <c r="L438" i="8"/>
  <c r="O438" i="8" s="1"/>
  <c r="N437" i="8"/>
  <c r="L437" i="8"/>
  <c r="N436" i="8"/>
  <c r="L436" i="8"/>
  <c r="O436" i="8" s="1"/>
  <c r="N435" i="8"/>
  <c r="L435" i="8"/>
  <c r="O435" i="8" s="1"/>
  <c r="J435" i="8"/>
  <c r="I435" i="8"/>
  <c r="J434" i="8"/>
  <c r="J433" i="8"/>
  <c r="J432" i="8"/>
  <c r="I432" i="8"/>
  <c r="J431" i="8"/>
  <c r="I431" i="8"/>
  <c r="J430" i="8"/>
  <c r="I430" i="8"/>
  <c r="J429" i="8"/>
  <c r="I429" i="8"/>
  <c r="J428" i="8"/>
  <c r="I428" i="8"/>
  <c r="J427" i="8"/>
  <c r="I427" i="8"/>
  <c r="J426" i="8"/>
  <c r="I426" i="8"/>
  <c r="K426" i="8" s="1"/>
  <c r="J425" i="8"/>
  <c r="I425" i="8"/>
  <c r="J424" i="8"/>
  <c r="I424" i="8"/>
  <c r="J423" i="8"/>
  <c r="I423" i="8"/>
  <c r="J422" i="8"/>
  <c r="I422" i="8"/>
  <c r="J421" i="8"/>
  <c r="I421" i="8"/>
  <c r="J420" i="8"/>
  <c r="I420" i="8"/>
  <c r="J419" i="8"/>
  <c r="I419" i="8"/>
  <c r="J418" i="8"/>
  <c r="I418" i="8"/>
  <c r="J417" i="8"/>
  <c r="I417" i="8"/>
  <c r="J416" i="8"/>
  <c r="I416" i="8"/>
  <c r="J415" i="8"/>
  <c r="J414" i="8"/>
  <c r="J413" i="8"/>
  <c r="J412" i="8"/>
  <c r="N410" i="8"/>
  <c r="N409" i="8"/>
  <c r="N408" i="8"/>
  <c r="N407" i="8"/>
  <c r="N406" i="8"/>
  <c r="L406" i="8"/>
  <c r="N405" i="8"/>
  <c r="L405" i="8"/>
  <c r="O405" i="8" s="1"/>
  <c r="N404" i="8"/>
  <c r="L404" i="8"/>
  <c r="N403" i="8"/>
  <c r="L403" i="8"/>
  <c r="O403" i="8" s="1"/>
  <c r="J402" i="8"/>
  <c r="I402" i="8"/>
  <c r="N401" i="8"/>
  <c r="L401" i="8"/>
  <c r="J401" i="8"/>
  <c r="I401" i="8"/>
  <c r="J400" i="8"/>
  <c r="J399" i="8"/>
  <c r="J398" i="8"/>
  <c r="I398" i="8"/>
  <c r="J397" i="8"/>
  <c r="I397" i="8"/>
  <c r="J396" i="8"/>
  <c r="I396" i="8"/>
  <c r="J394" i="8"/>
  <c r="J393" i="8"/>
  <c r="J392" i="8"/>
  <c r="J391" i="8"/>
  <c r="N389" i="8"/>
  <c r="N388" i="8"/>
  <c r="N387" i="8"/>
  <c r="N386" i="8"/>
  <c r="N385" i="8"/>
  <c r="L385" i="8"/>
  <c r="N384" i="8"/>
  <c r="L384" i="8"/>
  <c r="N383" i="8"/>
  <c r="L383" i="8"/>
  <c r="N382" i="8"/>
  <c r="L382" i="8"/>
  <c r="O382" i="8" s="1"/>
  <c r="J381" i="8"/>
  <c r="I381" i="8"/>
  <c r="N380" i="8"/>
  <c r="L380" i="8"/>
  <c r="J380" i="8"/>
  <c r="I380" i="8"/>
  <c r="J379" i="8"/>
  <c r="J378" i="8"/>
  <c r="J377" i="8"/>
  <c r="I377" i="8"/>
  <c r="J376" i="8"/>
  <c r="I376" i="8"/>
  <c r="J375" i="8"/>
  <c r="I375" i="8"/>
  <c r="J374" i="8"/>
  <c r="I374" i="8"/>
  <c r="J373" i="8"/>
  <c r="I373" i="8"/>
  <c r="K373" i="8" s="1"/>
  <c r="J372" i="8"/>
  <c r="I372" i="8"/>
  <c r="J371" i="8"/>
  <c r="I371" i="8"/>
  <c r="J370" i="8"/>
  <c r="I370" i="8"/>
  <c r="J369" i="8"/>
  <c r="I369" i="8"/>
  <c r="K369" i="8" s="1"/>
  <c r="J368" i="8"/>
  <c r="I368" i="8"/>
  <c r="J367" i="8"/>
  <c r="J366" i="8"/>
  <c r="J365" i="8"/>
  <c r="I365" i="8"/>
  <c r="K365" i="8" s="1"/>
  <c r="J364" i="8"/>
  <c r="J363" i="8"/>
  <c r="J362" i="8"/>
  <c r="J361" i="8"/>
  <c r="J360" i="8"/>
  <c r="N358" i="8"/>
  <c r="N357" i="8"/>
  <c r="N356" i="8"/>
  <c r="N355" i="8"/>
  <c r="N354" i="8"/>
  <c r="L354" i="8"/>
  <c r="N353" i="8"/>
  <c r="L353" i="8"/>
  <c r="O353" i="8" s="1"/>
  <c r="N352" i="8"/>
  <c r="L352" i="8"/>
  <c r="N351" i="8"/>
  <c r="L351" i="8"/>
  <c r="O351" i="8" s="1"/>
  <c r="J350" i="8"/>
  <c r="I350" i="8"/>
  <c r="N349" i="8"/>
  <c r="L349" i="8"/>
  <c r="J349" i="8"/>
  <c r="I349" i="8"/>
  <c r="N347" i="8"/>
  <c r="L347" i="8"/>
  <c r="J346" i="8"/>
  <c r="I346" i="8"/>
  <c r="K346" i="8" s="1"/>
  <c r="J345" i="8"/>
  <c r="I345" i="8"/>
  <c r="J344" i="8"/>
  <c r="I344" i="8"/>
  <c r="K344" i="8" s="1"/>
  <c r="J343" i="8"/>
  <c r="I343" i="8"/>
  <c r="J342" i="8"/>
  <c r="I342" i="8"/>
  <c r="K342" i="8" s="1"/>
  <c r="J341" i="8"/>
  <c r="I341" i="8"/>
  <c r="J340" i="8"/>
  <c r="I340" i="8"/>
  <c r="J339" i="8"/>
  <c r="I339" i="8"/>
  <c r="K339" i="8" s="1"/>
  <c r="N337" i="8"/>
  <c r="L337" i="8"/>
  <c r="M337" i="8" s="1"/>
  <c r="L335" i="8"/>
  <c r="L334" i="8"/>
  <c r="N333" i="8"/>
  <c r="M333" i="8"/>
  <c r="O332" i="8"/>
  <c r="N330" i="8"/>
  <c r="M330" i="8"/>
  <c r="L330" i="8"/>
  <c r="O330" i="8" s="1"/>
  <c r="J328" i="8"/>
  <c r="I328" i="8"/>
  <c r="J326" i="8"/>
  <c r="J325" i="8"/>
  <c r="J324" i="8"/>
  <c r="I324" i="8"/>
  <c r="K324" i="8" s="1"/>
  <c r="J323" i="8"/>
  <c r="J322" i="8"/>
  <c r="J321" i="8"/>
  <c r="J320" i="8"/>
  <c r="N318" i="8"/>
  <c r="L318" i="8"/>
  <c r="O318" i="8" s="1"/>
  <c r="L316" i="8"/>
  <c r="L315" i="8"/>
  <c r="N314" i="8"/>
  <c r="M314" i="8"/>
  <c r="P314" i="8" s="1"/>
  <c r="O313" i="8"/>
  <c r="O311" i="8"/>
  <c r="N311" i="8"/>
  <c r="M311" i="8"/>
  <c r="P311" i="8" s="1"/>
  <c r="L311" i="8"/>
  <c r="J309" i="8"/>
  <c r="I309" i="8"/>
  <c r="K309" i="8" s="1"/>
  <c r="J308" i="8"/>
  <c r="J307" i="8"/>
  <c r="J306" i="8"/>
  <c r="I306" i="8"/>
  <c r="K306" i="8" s="1"/>
  <c r="J304" i="8"/>
  <c r="I304" i="8"/>
  <c r="J303" i="8"/>
  <c r="J302" i="8"/>
  <c r="J301" i="8"/>
  <c r="J300" i="8"/>
  <c r="N298" i="8"/>
  <c r="L298" i="8"/>
  <c r="O298" i="8" s="1"/>
  <c r="L296" i="8"/>
  <c r="L295" i="8"/>
  <c r="N294" i="8"/>
  <c r="M294" i="8"/>
  <c r="P294" i="8" s="1"/>
  <c r="O293" i="8"/>
  <c r="N291" i="8"/>
  <c r="M291" i="8"/>
  <c r="P291" i="8" s="1"/>
  <c r="L291" i="8"/>
  <c r="O291" i="8" s="1"/>
  <c r="J289" i="8"/>
  <c r="I289" i="8"/>
  <c r="K289" i="8" s="1"/>
  <c r="J287" i="8"/>
  <c r="J286" i="8"/>
  <c r="J285" i="8"/>
  <c r="I285" i="8"/>
  <c r="J284" i="8"/>
  <c r="J283" i="8"/>
  <c r="J282" i="8"/>
  <c r="J281" i="8"/>
  <c r="N279" i="8"/>
  <c r="L279" i="8"/>
  <c r="O279" i="8" s="1"/>
  <c r="L277" i="8"/>
  <c r="L276" i="8"/>
  <c r="N275" i="8"/>
  <c r="M275" i="8"/>
  <c r="M273" i="8" s="1"/>
  <c r="M271" i="8" s="1"/>
  <c r="O274" i="8"/>
  <c r="P272" i="8"/>
  <c r="O272" i="8"/>
  <c r="N272" i="8"/>
  <c r="M272" i="8"/>
  <c r="L272" i="8"/>
  <c r="J270" i="8"/>
  <c r="I270" i="8"/>
  <c r="J269" i="8"/>
  <c r="J268" i="8"/>
  <c r="J267" i="8"/>
  <c r="I267" i="8"/>
  <c r="K267" i="8" s="1"/>
  <c r="J266" i="8"/>
  <c r="I266" i="8"/>
  <c r="K266" i="8" s="1"/>
  <c r="J265" i="8"/>
  <c r="I265" i="8"/>
  <c r="K265" i="8" s="1"/>
  <c r="J264" i="8"/>
  <c r="I264" i="8"/>
  <c r="K264" i="8" s="1"/>
  <c r="J263" i="8"/>
  <c r="J262" i="8"/>
  <c r="J261" i="8"/>
  <c r="J260" i="8"/>
  <c r="N258" i="8"/>
  <c r="L258" i="8"/>
  <c r="O258" i="8" s="1"/>
  <c r="L256" i="8"/>
  <c r="L255" i="8"/>
  <c r="N254" i="8"/>
  <c r="M254" i="8"/>
  <c r="P254" i="8" s="1"/>
  <c r="O253" i="8"/>
  <c r="O251" i="8"/>
  <c r="N251" i="8"/>
  <c r="M251" i="8"/>
  <c r="P251" i="8" s="1"/>
  <c r="L251" i="8"/>
  <c r="J249" i="8"/>
  <c r="I249" i="8"/>
  <c r="K249" i="8" s="1"/>
  <c r="J246" i="8"/>
  <c r="J245" i="8"/>
  <c r="J244" i="8"/>
  <c r="I244" i="8"/>
  <c r="K244" i="8" s="1"/>
  <c r="J243" i="8"/>
  <c r="J242" i="8"/>
  <c r="J241" i="8"/>
  <c r="J240" i="8"/>
  <c r="J238" i="8"/>
  <c r="I238" i="8"/>
  <c r="K238" i="8" s="1"/>
  <c r="J237" i="8"/>
  <c r="J236" i="8"/>
  <c r="J235" i="8"/>
  <c r="I235" i="8"/>
  <c r="J234" i="8"/>
  <c r="J233" i="8"/>
  <c r="J232" i="8"/>
  <c r="J231" i="8"/>
  <c r="J229" i="8"/>
  <c r="I229" i="8"/>
  <c r="N228" i="8"/>
  <c r="L228" i="8"/>
  <c r="O228" i="8" s="1"/>
  <c r="L226" i="8"/>
  <c r="L225" i="8"/>
  <c r="N224" i="8"/>
  <c r="M224" i="8"/>
  <c r="M222" i="8" s="1"/>
  <c r="M220" i="8" s="1"/>
  <c r="O223" i="8"/>
  <c r="N221" i="8"/>
  <c r="M221" i="8"/>
  <c r="P221" i="8" s="1"/>
  <c r="L221" i="8"/>
  <c r="O221" i="8" s="1"/>
  <c r="J219" i="8"/>
  <c r="I219" i="8"/>
  <c r="J218" i="8"/>
  <c r="J217" i="8"/>
  <c r="J216" i="8"/>
  <c r="I216" i="8"/>
  <c r="K216" i="8" s="1"/>
  <c r="J215" i="8"/>
  <c r="I215" i="8"/>
  <c r="K215" i="8" s="1"/>
  <c r="J213" i="8"/>
  <c r="I213" i="8"/>
  <c r="K213" i="8" s="1"/>
  <c r="J212" i="8"/>
  <c r="J211" i="8"/>
  <c r="J210" i="8"/>
  <c r="J209" i="8"/>
  <c r="J204" i="8"/>
  <c r="I204" i="8"/>
  <c r="K204" i="8" s="1"/>
  <c r="J203" i="8"/>
  <c r="J202" i="8"/>
  <c r="J201" i="8"/>
  <c r="I201" i="8"/>
  <c r="K201" i="8" s="1"/>
  <c r="J200" i="8"/>
  <c r="I200" i="8"/>
  <c r="J199" i="8"/>
  <c r="I199" i="8"/>
  <c r="J197" i="8"/>
  <c r="J196" i="8"/>
  <c r="J195" i="8"/>
  <c r="J194" i="8"/>
  <c r="J189" i="8"/>
  <c r="I189" i="8"/>
  <c r="J188" i="8"/>
  <c r="J187" i="8"/>
  <c r="J186" i="8"/>
  <c r="I186" i="8"/>
  <c r="K186" i="8" s="1"/>
  <c r="J185" i="8"/>
  <c r="I185" i="8"/>
  <c r="K185" i="8" s="1"/>
  <c r="J184" i="8"/>
  <c r="J183" i="8"/>
  <c r="J182" i="8"/>
  <c r="J181" i="8"/>
  <c r="J176" i="8"/>
  <c r="I176" i="8"/>
  <c r="K176" i="8" s="1"/>
  <c r="J175" i="8"/>
  <c r="J174" i="8"/>
  <c r="J173" i="8"/>
  <c r="I173" i="8"/>
  <c r="J172" i="8"/>
  <c r="J171" i="8"/>
  <c r="J170" i="8"/>
  <c r="J169" i="8"/>
  <c r="J164" i="8"/>
  <c r="I164" i="8"/>
  <c r="J163" i="8"/>
  <c r="J162" i="8"/>
  <c r="J161" i="8"/>
  <c r="J160" i="8"/>
  <c r="J159" i="8"/>
  <c r="J158" i="8"/>
  <c r="I158" i="8"/>
  <c r="J157" i="8"/>
  <c r="J156" i="8"/>
  <c r="J155" i="8"/>
  <c r="J154" i="8"/>
  <c r="J149" i="8"/>
  <c r="I149" i="8"/>
  <c r="N148" i="8"/>
  <c r="L148" i="8"/>
  <c r="O148" i="8" s="1"/>
  <c r="L146" i="8"/>
  <c r="L145" i="8"/>
  <c r="N144" i="8"/>
  <c r="M144" i="8"/>
  <c r="M142" i="8" s="1"/>
  <c r="O143" i="8"/>
  <c r="N141" i="8"/>
  <c r="M141" i="8"/>
  <c r="L141" i="8"/>
  <c r="O141" i="8" s="1"/>
  <c r="J138" i="8"/>
  <c r="I138" i="8"/>
  <c r="K138" i="8" s="1"/>
  <c r="J135" i="8"/>
  <c r="J134" i="8"/>
  <c r="J133" i="8"/>
  <c r="I133" i="8"/>
  <c r="J132" i="8"/>
  <c r="I132" i="8"/>
  <c r="J131" i="8"/>
  <c r="J130" i="8"/>
  <c r="J129" i="8"/>
  <c r="J128" i="8"/>
  <c r="N126" i="8"/>
  <c r="L126" i="8"/>
  <c r="O126" i="8" s="1"/>
  <c r="L124" i="8"/>
  <c r="L123" i="8"/>
  <c r="N122" i="8"/>
  <c r="M122" i="8"/>
  <c r="M120" i="8" s="1"/>
  <c r="O121" i="8"/>
  <c r="P119" i="8"/>
  <c r="N119" i="8"/>
  <c r="M119" i="8"/>
  <c r="L119" i="8"/>
  <c r="J117" i="8"/>
  <c r="I117" i="8"/>
  <c r="J115" i="8"/>
  <c r="J114" i="8"/>
  <c r="J113" i="8"/>
  <c r="I113" i="8"/>
  <c r="K113" i="8" s="1"/>
  <c r="J112" i="8"/>
  <c r="I112" i="8"/>
  <c r="K112" i="8" s="1"/>
  <c r="J111" i="8"/>
  <c r="I111" i="8"/>
  <c r="K111" i="8" s="1"/>
  <c r="J110" i="8"/>
  <c r="I110" i="8"/>
  <c r="K110" i="8" s="1"/>
  <c r="J109" i="8"/>
  <c r="I109" i="8"/>
  <c r="K109" i="8" s="1"/>
  <c r="J108" i="8"/>
  <c r="I108" i="8"/>
  <c r="K108" i="8" s="1"/>
  <c r="J107" i="8"/>
  <c r="J106" i="8"/>
  <c r="J105" i="8"/>
  <c r="J104" i="8"/>
  <c r="N102" i="8"/>
  <c r="L102" i="8"/>
  <c r="O102" i="8" s="1"/>
  <c r="L100" i="8"/>
  <c r="L99" i="8"/>
  <c r="N98" i="8"/>
  <c r="M98" i="8"/>
  <c r="P98" i="8" s="1"/>
  <c r="O97" i="8"/>
  <c r="P95" i="8"/>
  <c r="O95" i="8"/>
  <c r="N95" i="8"/>
  <c r="M95" i="8"/>
  <c r="L95" i="8"/>
  <c r="J93" i="8"/>
  <c r="I93" i="8"/>
  <c r="K93" i="8" s="1"/>
  <c r="J92" i="8"/>
  <c r="I92" i="8"/>
  <c r="K92" i="8" s="1"/>
  <c r="J90" i="8"/>
  <c r="J89" i="8"/>
  <c r="J88" i="8"/>
  <c r="I88" i="8"/>
  <c r="K88" i="8" s="1"/>
  <c r="J87" i="8"/>
  <c r="I87" i="8"/>
  <c r="K87" i="8" s="1"/>
  <c r="J86" i="8"/>
  <c r="I86" i="8"/>
  <c r="K86" i="8" s="1"/>
  <c r="J85" i="8"/>
  <c r="I85" i="8"/>
  <c r="K85" i="8" s="1"/>
  <c r="J84" i="8"/>
  <c r="I84" i="8"/>
  <c r="K84" i="8" s="1"/>
  <c r="J83" i="8"/>
  <c r="I83" i="8"/>
  <c r="K83" i="8" s="1"/>
  <c r="J82" i="8"/>
  <c r="I82" i="8"/>
  <c r="K82" i="8" s="1"/>
  <c r="J81" i="8"/>
  <c r="I81" i="8"/>
  <c r="K81" i="8" s="1"/>
  <c r="J80" i="8"/>
  <c r="I80" i="8"/>
  <c r="K80" i="8" s="1"/>
  <c r="J79" i="8"/>
  <c r="J78" i="8"/>
  <c r="J77" i="8"/>
  <c r="J76" i="8"/>
  <c r="N74" i="8"/>
  <c r="L74" i="8"/>
  <c r="O74" i="8" s="1"/>
  <c r="L72" i="8"/>
  <c r="L71" i="8"/>
  <c r="N70" i="8"/>
  <c r="M70" i="8"/>
  <c r="P70" i="8" s="1"/>
  <c r="O69" i="8"/>
  <c r="P67" i="8"/>
  <c r="O67" i="8"/>
  <c r="N67" i="8"/>
  <c r="M67" i="8"/>
  <c r="L67" i="8"/>
  <c r="J65" i="8"/>
  <c r="I65" i="8"/>
  <c r="K65" i="8" s="1"/>
  <c r="J64" i="8"/>
  <c r="I64" i="8"/>
  <c r="K64" i="8" s="1"/>
  <c r="N61" i="8"/>
  <c r="L61" i="8"/>
  <c r="O61" i="8" s="1"/>
  <c r="L59" i="8"/>
  <c r="L58" i="8"/>
  <c r="N57" i="8"/>
  <c r="M57" i="8"/>
  <c r="P54" i="8"/>
  <c r="O54" i="8"/>
  <c r="N54" i="8"/>
  <c r="M54" i="8"/>
  <c r="L54" i="8"/>
  <c r="N49" i="8"/>
  <c r="L49" i="8"/>
  <c r="L47" i="8"/>
  <c r="L46" i="8"/>
  <c r="N45" i="8"/>
  <c r="M45" i="8"/>
  <c r="M43" i="8" s="1"/>
  <c r="P42" i="8"/>
  <c r="N42" i="8"/>
  <c r="M42" i="8"/>
  <c r="L42" i="8"/>
  <c r="P36" i="8"/>
  <c r="O36" i="8"/>
  <c r="P35" i="8"/>
  <c r="O35" i="8"/>
  <c r="M34" i="8"/>
  <c r="P34" i="8" s="1"/>
  <c r="P33" i="8"/>
  <c r="M33" i="8"/>
  <c r="P32" i="8"/>
  <c r="M32" i="8"/>
  <c r="P31" i="8"/>
  <c r="M31" i="8"/>
  <c r="M30" i="8"/>
  <c r="P30" i="8" s="1"/>
  <c r="M29" i="8"/>
  <c r="P29" i="8" s="1"/>
  <c r="M28" i="8"/>
  <c r="P28" i="8" s="1"/>
  <c r="P25" i="8"/>
  <c r="O25" i="8"/>
  <c r="N25" i="8"/>
  <c r="M25" i="8"/>
  <c r="L25" i="8"/>
  <c r="P24" i="8"/>
  <c r="N24" i="8"/>
  <c r="M24" i="8"/>
  <c r="N23" i="8"/>
  <c r="M23" i="8"/>
  <c r="P23" i="8" s="1"/>
  <c r="N21" i="8"/>
  <c r="N19" i="8" s="1"/>
  <c r="M21" i="8"/>
  <c r="L21" i="8"/>
  <c r="O21" i="8" s="1"/>
  <c r="N15" i="8"/>
  <c r="M15" i="8"/>
  <c r="P15" i="8" s="1"/>
  <c r="L15" i="8"/>
  <c r="O15" i="8" s="1"/>
  <c r="M14" i="8"/>
  <c r="P14" i="8" s="1"/>
  <c r="J677" i="7"/>
  <c r="J676" i="7"/>
  <c r="J675" i="7"/>
  <c r="J674" i="7"/>
  <c r="J673" i="7"/>
  <c r="J672" i="7"/>
  <c r="N671" i="7"/>
  <c r="L671" i="7"/>
  <c r="O671" i="7" s="1"/>
  <c r="I671" i="7"/>
  <c r="K671" i="7" s="1"/>
  <c r="J670" i="7"/>
  <c r="J669" i="7"/>
  <c r="N668" i="7"/>
  <c r="L668" i="7"/>
  <c r="O668" i="7" s="1"/>
  <c r="J668" i="7"/>
  <c r="I668" i="7"/>
  <c r="K668" i="7" s="1"/>
  <c r="J667" i="7"/>
  <c r="J666" i="7"/>
  <c r="N665" i="7"/>
  <c r="L665" i="7"/>
  <c r="O665" i="7" s="1"/>
  <c r="J665" i="7"/>
  <c r="I665" i="7"/>
  <c r="K665" i="7" s="1"/>
  <c r="J663" i="7"/>
  <c r="I663" i="7"/>
  <c r="K663" i="7" s="1"/>
  <c r="J662" i="7"/>
  <c r="N661" i="7"/>
  <c r="L661" i="7"/>
  <c r="O661" i="7" s="1"/>
  <c r="J661" i="7"/>
  <c r="J660" i="7"/>
  <c r="J659" i="7"/>
  <c r="J658" i="7"/>
  <c r="J657" i="7"/>
  <c r="J656" i="7"/>
  <c r="J655" i="7"/>
  <c r="J653" i="7"/>
  <c r="J652" i="7"/>
  <c r="N651" i="7"/>
  <c r="L651" i="7"/>
  <c r="O651" i="7" s="1"/>
  <c r="I651" i="7"/>
  <c r="K651" i="7" s="1"/>
  <c r="N650" i="7"/>
  <c r="L650" i="7"/>
  <c r="O650" i="7" s="1"/>
  <c r="J650" i="7"/>
  <c r="I650" i="7"/>
  <c r="K650" i="7" s="1"/>
  <c r="N649" i="7"/>
  <c r="L649" i="7"/>
  <c r="O649" i="7" s="1"/>
  <c r="J649" i="7"/>
  <c r="I649" i="7"/>
  <c r="K649" i="7" s="1"/>
  <c r="N648" i="7"/>
  <c r="L648" i="7"/>
  <c r="J648" i="7"/>
  <c r="I648" i="7"/>
  <c r="K648" i="7" s="1"/>
  <c r="J647" i="7"/>
  <c r="J646" i="7"/>
  <c r="O639" i="7"/>
  <c r="O637" i="7"/>
  <c r="J635" i="7"/>
  <c r="I635" i="7"/>
  <c r="J634" i="7"/>
  <c r="I634" i="7"/>
  <c r="J633" i="7"/>
  <c r="I633" i="7"/>
  <c r="J632" i="7"/>
  <c r="I632" i="7"/>
  <c r="J631" i="7"/>
  <c r="I631" i="7"/>
  <c r="J630" i="7"/>
  <c r="I630" i="7"/>
  <c r="J629" i="7"/>
  <c r="I629" i="7"/>
  <c r="J628" i="7"/>
  <c r="I628" i="7"/>
  <c r="J626" i="7"/>
  <c r="I626" i="7"/>
  <c r="J625" i="7"/>
  <c r="I625" i="7"/>
  <c r="J624" i="7"/>
  <c r="I624" i="7"/>
  <c r="J623" i="7"/>
  <c r="I623" i="7"/>
  <c r="J622" i="7"/>
  <c r="I622" i="7"/>
  <c r="J621" i="7"/>
  <c r="I621" i="7"/>
  <c r="J620" i="7"/>
  <c r="I620" i="7"/>
  <c r="K625" i="7" s="1"/>
  <c r="J619" i="7"/>
  <c r="I619" i="7"/>
  <c r="J618" i="7"/>
  <c r="I618" i="7"/>
  <c r="J617" i="7"/>
  <c r="I617" i="7"/>
  <c r="J616" i="7"/>
  <c r="I616" i="7"/>
  <c r="J615" i="7"/>
  <c r="I615" i="7"/>
  <c r="J614" i="7"/>
  <c r="I614" i="7"/>
  <c r="J613" i="7"/>
  <c r="I613" i="7"/>
  <c r="J612" i="7"/>
  <c r="I612" i="7"/>
  <c r="J611" i="7"/>
  <c r="I611" i="7"/>
  <c r="J610" i="7"/>
  <c r="J609" i="7"/>
  <c r="J608" i="7"/>
  <c r="J607" i="7"/>
  <c r="N605" i="7"/>
  <c r="N604" i="7"/>
  <c r="N603" i="7"/>
  <c r="N602" i="7"/>
  <c r="N601" i="7"/>
  <c r="L601" i="7"/>
  <c r="N600" i="7"/>
  <c r="L600" i="7"/>
  <c r="O600" i="7" s="1"/>
  <c r="N599" i="7"/>
  <c r="L599" i="7"/>
  <c r="N598" i="7"/>
  <c r="L598" i="7"/>
  <c r="O598" i="7" s="1"/>
  <c r="N597" i="7"/>
  <c r="L597" i="7"/>
  <c r="J597" i="7"/>
  <c r="I597" i="7"/>
  <c r="J596" i="7"/>
  <c r="I596" i="7"/>
  <c r="K596" i="7" s="1"/>
  <c r="J595" i="7"/>
  <c r="I595" i="7"/>
  <c r="K595" i="7" s="1"/>
  <c r="J594" i="7"/>
  <c r="I594" i="7"/>
  <c r="K594" i="7" s="1"/>
  <c r="J593" i="7"/>
  <c r="I593" i="7"/>
  <c r="K593" i="7" s="1"/>
  <c r="J592" i="7"/>
  <c r="I592" i="7"/>
  <c r="K592" i="7" s="1"/>
  <c r="J591" i="7"/>
  <c r="I591" i="7"/>
  <c r="K591" i="7" s="1"/>
  <c r="J590" i="7"/>
  <c r="I590" i="7"/>
  <c r="K590" i="7" s="1"/>
  <c r="J589" i="7"/>
  <c r="I589" i="7"/>
  <c r="K589" i="7" s="1"/>
  <c r="N588" i="7"/>
  <c r="N587" i="7"/>
  <c r="N586" i="7"/>
  <c r="N585" i="7"/>
  <c r="N584" i="7"/>
  <c r="L584" i="7"/>
  <c r="O584" i="7" s="1"/>
  <c r="N583" i="7"/>
  <c r="L583" i="7"/>
  <c r="O583" i="7" s="1"/>
  <c r="N582" i="7"/>
  <c r="L582" i="7"/>
  <c r="O582" i="7" s="1"/>
  <c r="N581" i="7"/>
  <c r="L581" i="7"/>
  <c r="O581" i="7" s="1"/>
  <c r="N580" i="7"/>
  <c r="L580" i="7"/>
  <c r="O580" i="7" s="1"/>
  <c r="J580" i="7"/>
  <c r="I580" i="7"/>
  <c r="K580" i="7" s="1"/>
  <c r="J579" i="7"/>
  <c r="I579" i="7"/>
  <c r="K579" i="7" s="1"/>
  <c r="J578" i="7"/>
  <c r="I578" i="7"/>
  <c r="K578" i="7" s="1"/>
  <c r="J577" i="7"/>
  <c r="I577" i="7"/>
  <c r="K577" i="7" s="1"/>
  <c r="J576" i="7"/>
  <c r="I576" i="7"/>
  <c r="K576" i="7" s="1"/>
  <c r="J575" i="7"/>
  <c r="I575" i="7"/>
  <c r="K575" i="7" s="1"/>
  <c r="J573" i="7"/>
  <c r="I573" i="7"/>
  <c r="N572" i="7"/>
  <c r="N571" i="7"/>
  <c r="N570" i="7"/>
  <c r="N569" i="7"/>
  <c r="N568" i="7"/>
  <c r="L568" i="7"/>
  <c r="N567" i="7"/>
  <c r="L567" i="7"/>
  <c r="O567" i="7" s="1"/>
  <c r="N566" i="7"/>
  <c r="L566" i="7"/>
  <c r="N565" i="7"/>
  <c r="L565" i="7"/>
  <c r="O565" i="7" s="1"/>
  <c r="N564" i="7"/>
  <c r="L564" i="7"/>
  <c r="J564" i="7"/>
  <c r="I564" i="7"/>
  <c r="J561" i="7"/>
  <c r="I561" i="7"/>
  <c r="K561" i="7" s="1"/>
  <c r="J560" i="7"/>
  <c r="I560" i="7"/>
  <c r="K560" i="7" s="1"/>
  <c r="N559" i="7"/>
  <c r="N558" i="7"/>
  <c r="N557" i="7"/>
  <c r="N556" i="7"/>
  <c r="N555" i="7"/>
  <c r="L555" i="7"/>
  <c r="O555" i="7" s="1"/>
  <c r="N554" i="7"/>
  <c r="L554" i="7"/>
  <c r="O554" i="7" s="1"/>
  <c r="N553" i="7"/>
  <c r="L553" i="7"/>
  <c r="O553" i="7" s="1"/>
  <c r="N552" i="7"/>
  <c r="L552" i="7"/>
  <c r="O552" i="7" s="1"/>
  <c r="N551" i="7"/>
  <c r="L551" i="7"/>
  <c r="O551" i="7" s="1"/>
  <c r="J551" i="7"/>
  <c r="I551" i="7"/>
  <c r="K551" i="7" s="1"/>
  <c r="J550" i="7"/>
  <c r="J549" i="7"/>
  <c r="J548" i="7"/>
  <c r="I548" i="7"/>
  <c r="K548" i="7" s="1"/>
  <c r="J547" i="7"/>
  <c r="I547" i="7"/>
  <c r="J546" i="7"/>
  <c r="J545" i="7"/>
  <c r="J544" i="7"/>
  <c r="J543" i="7"/>
  <c r="N541" i="7"/>
  <c r="N540" i="7"/>
  <c r="N539" i="7"/>
  <c r="N538" i="7"/>
  <c r="N537" i="7"/>
  <c r="L537" i="7"/>
  <c r="N536" i="7"/>
  <c r="L536" i="7"/>
  <c r="O536" i="7" s="1"/>
  <c r="N535" i="7"/>
  <c r="L535" i="7"/>
  <c r="N534" i="7"/>
  <c r="L534" i="7"/>
  <c r="O534" i="7" s="1"/>
  <c r="N533" i="7"/>
  <c r="L533" i="7"/>
  <c r="J533" i="7"/>
  <c r="I533" i="7"/>
  <c r="J532" i="7"/>
  <c r="I532" i="7"/>
  <c r="J531" i="7"/>
  <c r="I531" i="7"/>
  <c r="J530" i="7"/>
  <c r="I530" i="7"/>
  <c r="J529" i="7"/>
  <c r="I529" i="7"/>
  <c r="J528" i="7"/>
  <c r="I528" i="7"/>
  <c r="J527" i="7"/>
  <c r="I527" i="7"/>
  <c r="J526" i="7"/>
  <c r="I526" i="7"/>
  <c r="J525" i="7"/>
  <c r="I525" i="7"/>
  <c r="J524" i="7"/>
  <c r="I524" i="7"/>
  <c r="J523" i="7"/>
  <c r="I523" i="7"/>
  <c r="J522" i="7"/>
  <c r="I522" i="7"/>
  <c r="J521" i="7"/>
  <c r="I521" i="7"/>
  <c r="J520" i="7"/>
  <c r="I520" i="7"/>
  <c r="J519" i="7"/>
  <c r="I519" i="7"/>
  <c r="J518" i="7"/>
  <c r="I518" i="7"/>
  <c r="J517" i="7"/>
  <c r="I517" i="7"/>
  <c r="J516" i="7"/>
  <c r="I516" i="7"/>
  <c r="J515" i="7"/>
  <c r="I515" i="7"/>
  <c r="K515" i="7" s="1"/>
  <c r="J514" i="7"/>
  <c r="I514" i="7"/>
  <c r="K514" i="7" s="1"/>
  <c r="J513" i="7"/>
  <c r="I513" i="7"/>
  <c r="K513" i="7" s="1"/>
  <c r="J512" i="7"/>
  <c r="I512" i="7"/>
  <c r="K512" i="7" s="1"/>
  <c r="J511" i="7"/>
  <c r="I511" i="7"/>
  <c r="K511" i="7" s="1"/>
  <c r="J510" i="7"/>
  <c r="I510" i="7"/>
  <c r="K510" i="7" s="1"/>
  <c r="J509" i="7"/>
  <c r="I509" i="7"/>
  <c r="K509" i="7" s="1"/>
  <c r="J508" i="7"/>
  <c r="I508" i="7"/>
  <c r="K508" i="7" s="1"/>
  <c r="J507" i="7"/>
  <c r="I507" i="7"/>
  <c r="K507" i="7" s="1"/>
  <c r="J506" i="7"/>
  <c r="I506" i="7"/>
  <c r="K506" i="7" s="1"/>
  <c r="J505" i="7"/>
  <c r="I505" i="7"/>
  <c r="K505" i="7" s="1"/>
  <c r="J504" i="7"/>
  <c r="I504" i="7"/>
  <c r="K504" i="7" s="1"/>
  <c r="J503" i="7"/>
  <c r="I503" i="7"/>
  <c r="K503" i="7" s="1"/>
  <c r="J502" i="7"/>
  <c r="I502" i="7"/>
  <c r="K502" i="7" s="1"/>
  <c r="J501" i="7"/>
  <c r="I501" i="7"/>
  <c r="K501" i="7" s="1"/>
  <c r="J500" i="7"/>
  <c r="I500" i="7"/>
  <c r="K500" i="7" s="1"/>
  <c r="J499" i="7"/>
  <c r="I499" i="7"/>
  <c r="K499" i="7" s="1"/>
  <c r="J498" i="7"/>
  <c r="I498" i="7"/>
  <c r="K498" i="7" s="1"/>
  <c r="J497" i="7"/>
  <c r="I497" i="7"/>
  <c r="K497" i="7" s="1"/>
  <c r="J496" i="7"/>
  <c r="I496" i="7"/>
  <c r="K496" i="7" s="1"/>
  <c r="J495" i="7"/>
  <c r="I495" i="7"/>
  <c r="K495" i="7" s="1"/>
  <c r="J494" i="7"/>
  <c r="I494" i="7"/>
  <c r="K494" i="7" s="1"/>
  <c r="J493" i="7"/>
  <c r="I493" i="7"/>
  <c r="K493" i="7" s="1"/>
  <c r="J492" i="7"/>
  <c r="I492" i="7"/>
  <c r="K492" i="7" s="1"/>
  <c r="J491" i="7"/>
  <c r="I491" i="7"/>
  <c r="K491" i="7" s="1"/>
  <c r="J490" i="7"/>
  <c r="I490" i="7"/>
  <c r="K490" i="7" s="1"/>
  <c r="J489" i="7"/>
  <c r="I489" i="7"/>
  <c r="K489" i="7" s="1"/>
  <c r="J488" i="7"/>
  <c r="I488" i="7"/>
  <c r="K488" i="7" s="1"/>
  <c r="J487" i="7"/>
  <c r="I487" i="7"/>
  <c r="K487" i="7" s="1"/>
  <c r="J486" i="7"/>
  <c r="I486" i="7"/>
  <c r="K486" i="7" s="1"/>
  <c r="J485" i="7"/>
  <c r="I485" i="7"/>
  <c r="K485" i="7" s="1"/>
  <c r="J484" i="7"/>
  <c r="I484" i="7"/>
  <c r="K484" i="7" s="1"/>
  <c r="J483" i="7"/>
  <c r="I483" i="7"/>
  <c r="K483" i="7" s="1"/>
  <c r="J482" i="7"/>
  <c r="I482" i="7"/>
  <c r="J481" i="7"/>
  <c r="I481" i="7"/>
  <c r="J480" i="7"/>
  <c r="I480" i="7"/>
  <c r="K480" i="7" s="1"/>
  <c r="J479" i="7"/>
  <c r="I479" i="7"/>
  <c r="K479" i="7" s="1"/>
  <c r="J478" i="7"/>
  <c r="I478" i="7"/>
  <c r="K478" i="7" s="1"/>
  <c r="J477" i="7"/>
  <c r="I477" i="7"/>
  <c r="K477" i="7" s="1"/>
  <c r="J476" i="7"/>
  <c r="I476" i="7"/>
  <c r="K476" i="7" s="1"/>
  <c r="J475" i="7"/>
  <c r="I475" i="7"/>
  <c r="K475" i="7" s="1"/>
  <c r="J474" i="7"/>
  <c r="I474" i="7"/>
  <c r="J473" i="7"/>
  <c r="I473" i="7"/>
  <c r="J472" i="7"/>
  <c r="I472" i="7"/>
  <c r="K472" i="7" s="1"/>
  <c r="J471" i="7"/>
  <c r="I471" i="7"/>
  <c r="K471" i="7" s="1"/>
  <c r="J470" i="7"/>
  <c r="I470" i="7"/>
  <c r="K470" i="7" s="1"/>
  <c r="J469" i="7"/>
  <c r="I469" i="7"/>
  <c r="K469" i="7" s="1"/>
  <c r="J468" i="7"/>
  <c r="I468" i="7"/>
  <c r="K468" i="7" s="1"/>
  <c r="J467" i="7"/>
  <c r="I467" i="7"/>
  <c r="K467" i="7" s="1"/>
  <c r="J466" i="7"/>
  <c r="I466" i="7"/>
  <c r="J465" i="7"/>
  <c r="I465" i="7"/>
  <c r="J464" i="7"/>
  <c r="I464" i="7"/>
  <c r="N463" i="7"/>
  <c r="N462" i="7"/>
  <c r="N461" i="7"/>
  <c r="N460" i="7"/>
  <c r="N459" i="7"/>
  <c r="L459" i="7"/>
  <c r="N458" i="7"/>
  <c r="L458" i="7"/>
  <c r="O458" i="7" s="1"/>
  <c r="N457" i="7"/>
  <c r="L457" i="7"/>
  <c r="N456" i="7"/>
  <c r="L456" i="7"/>
  <c r="O456" i="7" s="1"/>
  <c r="N455" i="7"/>
  <c r="L455" i="7"/>
  <c r="J455" i="7"/>
  <c r="I455" i="7"/>
  <c r="J454" i="7"/>
  <c r="J453" i="7"/>
  <c r="J452" i="7"/>
  <c r="I452" i="7"/>
  <c r="K452" i="7" s="1"/>
  <c r="J451" i="7"/>
  <c r="I451" i="7"/>
  <c r="K451" i="7" s="1"/>
  <c r="J450" i="7"/>
  <c r="I450" i="7"/>
  <c r="J449" i="7"/>
  <c r="I449" i="7"/>
  <c r="J448" i="7"/>
  <c r="J447" i="7"/>
  <c r="J446" i="7"/>
  <c r="J445" i="7"/>
  <c r="N443" i="7"/>
  <c r="N442" i="7"/>
  <c r="N441" i="7"/>
  <c r="N440" i="7"/>
  <c r="N439" i="7"/>
  <c r="L439" i="7"/>
  <c r="N438" i="7"/>
  <c r="L438" i="7"/>
  <c r="O438" i="7" s="1"/>
  <c r="N437" i="7"/>
  <c r="L437" i="7"/>
  <c r="N436" i="7"/>
  <c r="L436" i="7"/>
  <c r="O436" i="7" s="1"/>
  <c r="N435" i="7"/>
  <c r="L435" i="7"/>
  <c r="J435" i="7"/>
  <c r="I435" i="7"/>
  <c r="J434" i="7"/>
  <c r="J433" i="7"/>
  <c r="J432" i="7"/>
  <c r="I432" i="7"/>
  <c r="J431" i="7"/>
  <c r="I431" i="7"/>
  <c r="J430" i="7"/>
  <c r="I430" i="7"/>
  <c r="J429" i="7"/>
  <c r="I429" i="7"/>
  <c r="J428" i="7"/>
  <c r="I428" i="7"/>
  <c r="J427" i="7"/>
  <c r="I427" i="7"/>
  <c r="J426" i="7"/>
  <c r="I426" i="7"/>
  <c r="J425" i="7"/>
  <c r="I425" i="7"/>
  <c r="J424" i="7"/>
  <c r="I424" i="7"/>
  <c r="J423" i="7"/>
  <c r="I423" i="7"/>
  <c r="J422" i="7"/>
  <c r="I422" i="7"/>
  <c r="J421" i="7"/>
  <c r="I421" i="7"/>
  <c r="J420" i="7"/>
  <c r="I420" i="7"/>
  <c r="J419" i="7"/>
  <c r="I419" i="7"/>
  <c r="J418" i="7"/>
  <c r="I418" i="7"/>
  <c r="J417" i="7"/>
  <c r="I417" i="7"/>
  <c r="J416" i="7"/>
  <c r="I416" i="7"/>
  <c r="J415" i="7"/>
  <c r="J414" i="7"/>
  <c r="J413" i="7"/>
  <c r="J412" i="7"/>
  <c r="N410" i="7"/>
  <c r="N409" i="7"/>
  <c r="N408" i="7"/>
  <c r="N407" i="7"/>
  <c r="N406" i="7"/>
  <c r="L406" i="7"/>
  <c r="N405" i="7"/>
  <c r="L405" i="7"/>
  <c r="O405" i="7" s="1"/>
  <c r="N404" i="7"/>
  <c r="L404" i="7"/>
  <c r="N403" i="7"/>
  <c r="L403" i="7"/>
  <c r="O403" i="7" s="1"/>
  <c r="J402" i="7"/>
  <c r="I402" i="7"/>
  <c r="N401" i="7"/>
  <c r="L401" i="7"/>
  <c r="J401" i="7"/>
  <c r="I401" i="7"/>
  <c r="J400" i="7"/>
  <c r="J399" i="7"/>
  <c r="J398" i="7"/>
  <c r="I398" i="7"/>
  <c r="J397" i="7"/>
  <c r="I397" i="7"/>
  <c r="J396" i="7"/>
  <c r="I396" i="7"/>
  <c r="J394" i="7"/>
  <c r="J393" i="7"/>
  <c r="J392" i="7"/>
  <c r="J391" i="7"/>
  <c r="N389" i="7"/>
  <c r="N388" i="7"/>
  <c r="N387" i="7"/>
  <c r="N386" i="7"/>
  <c r="N385" i="7"/>
  <c r="L385" i="7"/>
  <c r="N384" i="7"/>
  <c r="L384" i="7"/>
  <c r="O384" i="7" s="1"/>
  <c r="N383" i="7"/>
  <c r="L383" i="7"/>
  <c r="N382" i="7"/>
  <c r="L382" i="7"/>
  <c r="O382" i="7" s="1"/>
  <c r="J381" i="7"/>
  <c r="I381" i="7"/>
  <c r="N380" i="7"/>
  <c r="L380" i="7"/>
  <c r="J380" i="7"/>
  <c r="I380" i="7"/>
  <c r="J379" i="7"/>
  <c r="J378" i="7"/>
  <c r="J377" i="7"/>
  <c r="I377" i="7"/>
  <c r="K377" i="7" s="1"/>
  <c r="J376" i="7"/>
  <c r="I376" i="7"/>
  <c r="J375" i="7"/>
  <c r="I375" i="7"/>
  <c r="J374" i="7"/>
  <c r="I374" i="7"/>
  <c r="J373" i="7"/>
  <c r="I373" i="7"/>
  <c r="K373" i="7" s="1"/>
  <c r="J372" i="7"/>
  <c r="I372" i="7"/>
  <c r="J371" i="7"/>
  <c r="I371" i="7"/>
  <c r="K371" i="7" s="1"/>
  <c r="J370" i="7"/>
  <c r="I370" i="7"/>
  <c r="J369" i="7"/>
  <c r="I369" i="7"/>
  <c r="K369" i="7" s="1"/>
  <c r="J368" i="7"/>
  <c r="I368" i="7"/>
  <c r="J367" i="7"/>
  <c r="J366" i="7"/>
  <c r="J365" i="7"/>
  <c r="I365" i="7"/>
  <c r="K365" i="7" s="1"/>
  <c r="J364" i="7"/>
  <c r="J363" i="7"/>
  <c r="J362" i="7"/>
  <c r="J361" i="7"/>
  <c r="J360" i="7"/>
  <c r="N358" i="7"/>
  <c r="N357" i="7"/>
  <c r="N356" i="7"/>
  <c r="N355" i="7"/>
  <c r="N354" i="7"/>
  <c r="L354" i="7"/>
  <c r="N353" i="7"/>
  <c r="L353" i="7"/>
  <c r="N352" i="7"/>
  <c r="L352" i="7"/>
  <c r="N351" i="7"/>
  <c r="L351" i="7"/>
  <c r="J350" i="7"/>
  <c r="I350" i="7"/>
  <c r="N349" i="7"/>
  <c r="L349" i="7"/>
  <c r="J349" i="7"/>
  <c r="I349" i="7"/>
  <c r="N347" i="7"/>
  <c r="L347" i="7"/>
  <c r="J346" i="7"/>
  <c r="I346" i="7"/>
  <c r="K346" i="7" s="1"/>
  <c r="J345" i="7"/>
  <c r="I345" i="7"/>
  <c r="J344" i="7"/>
  <c r="I344" i="7"/>
  <c r="J343" i="7"/>
  <c r="I343" i="7"/>
  <c r="J342" i="7"/>
  <c r="I342" i="7"/>
  <c r="K342" i="7" s="1"/>
  <c r="J341" i="7"/>
  <c r="I341" i="7"/>
  <c r="J340" i="7"/>
  <c r="I340" i="7"/>
  <c r="J339" i="7"/>
  <c r="I339" i="7"/>
  <c r="K339" i="7" s="1"/>
  <c r="N337" i="7"/>
  <c r="L337" i="7"/>
  <c r="L335" i="7"/>
  <c r="L334" i="7"/>
  <c r="N333" i="7"/>
  <c r="M333" i="7"/>
  <c r="O332" i="7"/>
  <c r="P330" i="7"/>
  <c r="O330" i="7"/>
  <c r="N330" i="7"/>
  <c r="M330" i="7"/>
  <c r="L330" i="7"/>
  <c r="J328" i="7"/>
  <c r="I328" i="7"/>
  <c r="J326" i="7"/>
  <c r="J325" i="7"/>
  <c r="J324" i="7"/>
  <c r="I324" i="7"/>
  <c r="J323" i="7"/>
  <c r="J322" i="7"/>
  <c r="J321" i="7"/>
  <c r="J320" i="7"/>
  <c r="N318" i="7"/>
  <c r="L318" i="7"/>
  <c r="L316" i="7"/>
  <c r="L315" i="7"/>
  <c r="N314" i="7"/>
  <c r="M314" i="7"/>
  <c r="O313" i="7"/>
  <c r="N311" i="7"/>
  <c r="M311" i="7"/>
  <c r="L311" i="7"/>
  <c r="O311" i="7" s="1"/>
  <c r="J309" i="7"/>
  <c r="I309" i="7"/>
  <c r="K309" i="7" s="1"/>
  <c r="J308" i="7"/>
  <c r="J307" i="7"/>
  <c r="J306" i="7"/>
  <c r="I306" i="7"/>
  <c r="K306" i="7" s="1"/>
  <c r="J304" i="7"/>
  <c r="I304" i="7"/>
  <c r="K304" i="7" s="1"/>
  <c r="J303" i="7"/>
  <c r="J302" i="7"/>
  <c r="J301" i="7"/>
  <c r="J300" i="7"/>
  <c r="N298" i="7"/>
  <c r="L298" i="7"/>
  <c r="O298" i="7" s="1"/>
  <c r="L296" i="7"/>
  <c r="L295" i="7"/>
  <c r="N294" i="7"/>
  <c r="M294" i="7"/>
  <c r="P294" i="7" s="1"/>
  <c r="O293" i="7"/>
  <c r="P291" i="7"/>
  <c r="N291" i="7"/>
  <c r="M291" i="7"/>
  <c r="L291" i="7"/>
  <c r="J289" i="7"/>
  <c r="I289" i="7"/>
  <c r="K289" i="7" s="1"/>
  <c r="J287" i="7"/>
  <c r="J286" i="7"/>
  <c r="J285" i="7"/>
  <c r="I285" i="7"/>
  <c r="K285" i="7" s="1"/>
  <c r="J284" i="7"/>
  <c r="J283" i="7"/>
  <c r="J282" i="7"/>
  <c r="J281" i="7"/>
  <c r="N279" i="7"/>
  <c r="L279" i="7"/>
  <c r="O279" i="7" s="1"/>
  <c r="L277" i="7"/>
  <c r="L276" i="7"/>
  <c r="N275" i="7"/>
  <c r="M275" i="7"/>
  <c r="P275" i="7" s="1"/>
  <c r="O274" i="7"/>
  <c r="N272" i="7"/>
  <c r="M272" i="7"/>
  <c r="P272" i="7" s="1"/>
  <c r="L272" i="7"/>
  <c r="O272" i="7" s="1"/>
  <c r="J270" i="7"/>
  <c r="I270" i="7"/>
  <c r="K270" i="7" s="1"/>
  <c r="J269" i="7"/>
  <c r="J268" i="7"/>
  <c r="J267" i="7"/>
  <c r="I267" i="7"/>
  <c r="K267" i="7" s="1"/>
  <c r="J266" i="7"/>
  <c r="I266" i="7"/>
  <c r="K266" i="7" s="1"/>
  <c r="J265" i="7"/>
  <c r="I265" i="7"/>
  <c r="K265" i="7" s="1"/>
  <c r="J264" i="7"/>
  <c r="I264" i="7"/>
  <c r="K264" i="7" s="1"/>
  <c r="J263" i="7"/>
  <c r="J262" i="7"/>
  <c r="J261" i="7"/>
  <c r="J260" i="7"/>
  <c r="N258" i="7"/>
  <c r="L258" i="7"/>
  <c r="O258" i="7" s="1"/>
  <c r="L256" i="7"/>
  <c r="L255" i="7"/>
  <c r="N254" i="7"/>
  <c r="M254" i="7"/>
  <c r="P254" i="7" s="1"/>
  <c r="O253" i="7"/>
  <c r="N251" i="7"/>
  <c r="M251" i="7"/>
  <c r="L251" i="7"/>
  <c r="O251" i="7" s="1"/>
  <c r="J249" i="7"/>
  <c r="I249" i="7"/>
  <c r="K249" i="7" s="1"/>
  <c r="J246" i="7"/>
  <c r="J245" i="7"/>
  <c r="J244" i="7"/>
  <c r="I244" i="7"/>
  <c r="K244" i="7" s="1"/>
  <c r="J243" i="7"/>
  <c r="J242" i="7"/>
  <c r="J241" i="7"/>
  <c r="J240" i="7"/>
  <c r="J238" i="7"/>
  <c r="I238" i="7"/>
  <c r="K238" i="7" s="1"/>
  <c r="J237" i="7"/>
  <c r="J236" i="7"/>
  <c r="J235" i="7"/>
  <c r="I235" i="7"/>
  <c r="J234" i="7"/>
  <c r="J233" i="7"/>
  <c r="J232" i="7"/>
  <c r="J231" i="7"/>
  <c r="J229" i="7"/>
  <c r="I229" i="7"/>
  <c r="N228" i="7"/>
  <c r="L228" i="7"/>
  <c r="L226" i="7"/>
  <c r="L225" i="7"/>
  <c r="N224" i="7"/>
  <c r="M224" i="7"/>
  <c r="M222" i="7" s="1"/>
  <c r="O223" i="7"/>
  <c r="P221" i="7"/>
  <c r="N221" i="7"/>
  <c r="M221" i="7"/>
  <c r="L221" i="7"/>
  <c r="J219" i="7"/>
  <c r="I219" i="7"/>
  <c r="J218" i="7"/>
  <c r="J217" i="7"/>
  <c r="J216" i="7"/>
  <c r="I216" i="7"/>
  <c r="K216" i="7" s="1"/>
  <c r="J215" i="7"/>
  <c r="I215" i="7"/>
  <c r="K215" i="7" s="1"/>
  <c r="J213" i="7"/>
  <c r="I213" i="7"/>
  <c r="K213" i="7" s="1"/>
  <c r="J212" i="7"/>
  <c r="J211" i="7"/>
  <c r="J210" i="7"/>
  <c r="J209" i="7"/>
  <c r="J204" i="7"/>
  <c r="I204" i="7"/>
  <c r="K204" i="7" s="1"/>
  <c r="J203" i="7"/>
  <c r="J202" i="7"/>
  <c r="J201" i="7"/>
  <c r="I201" i="7"/>
  <c r="J200" i="7"/>
  <c r="I200" i="7"/>
  <c r="J199" i="7"/>
  <c r="I199" i="7"/>
  <c r="J197" i="7"/>
  <c r="J196" i="7"/>
  <c r="J195" i="7"/>
  <c r="J194" i="7"/>
  <c r="J189" i="7"/>
  <c r="I189" i="7"/>
  <c r="J188" i="7"/>
  <c r="J187" i="7"/>
  <c r="J186" i="7"/>
  <c r="I186" i="7"/>
  <c r="K186" i="7" s="1"/>
  <c r="J185" i="7"/>
  <c r="I185" i="7"/>
  <c r="K185" i="7" s="1"/>
  <c r="J184" i="7"/>
  <c r="J183" i="7"/>
  <c r="J182" i="7"/>
  <c r="J181" i="7"/>
  <c r="J176" i="7"/>
  <c r="I176" i="7"/>
  <c r="K176" i="7" s="1"/>
  <c r="J175" i="7"/>
  <c r="J174" i="7"/>
  <c r="J173" i="7"/>
  <c r="I173" i="7"/>
  <c r="J172" i="7"/>
  <c r="J171" i="7"/>
  <c r="J170" i="7"/>
  <c r="J169" i="7"/>
  <c r="J164" i="7"/>
  <c r="I164" i="7"/>
  <c r="J163" i="7"/>
  <c r="J162" i="7"/>
  <c r="J161" i="7"/>
  <c r="J160" i="7"/>
  <c r="J159" i="7"/>
  <c r="J158" i="7"/>
  <c r="I158" i="7"/>
  <c r="J157" i="7"/>
  <c r="J156" i="7"/>
  <c r="J155" i="7"/>
  <c r="J154" i="7"/>
  <c r="J149" i="7"/>
  <c r="I149" i="7"/>
  <c r="N148" i="7"/>
  <c r="L148" i="7"/>
  <c r="O148" i="7" s="1"/>
  <c r="L146" i="7"/>
  <c r="L145" i="7"/>
  <c r="N144" i="7"/>
  <c r="M144" i="7"/>
  <c r="O143" i="7"/>
  <c r="P141" i="7"/>
  <c r="O141" i="7"/>
  <c r="N141" i="7"/>
  <c r="M141" i="7"/>
  <c r="L141" i="7"/>
  <c r="J138" i="7"/>
  <c r="I138" i="7"/>
  <c r="J135" i="7"/>
  <c r="J134" i="7"/>
  <c r="J133" i="7"/>
  <c r="I133" i="7"/>
  <c r="J132" i="7"/>
  <c r="I132" i="7"/>
  <c r="K132" i="7" s="1"/>
  <c r="J131" i="7"/>
  <c r="J130" i="7"/>
  <c r="J129" i="7"/>
  <c r="J128" i="7"/>
  <c r="N126" i="7"/>
  <c r="L126" i="7"/>
  <c r="O126" i="7" s="1"/>
  <c r="L124" i="7"/>
  <c r="L123" i="7"/>
  <c r="N122" i="7"/>
  <c r="M122" i="7"/>
  <c r="O121" i="7"/>
  <c r="P119" i="7"/>
  <c r="N119" i="7"/>
  <c r="M119" i="7"/>
  <c r="L119" i="7"/>
  <c r="O119" i="7" s="1"/>
  <c r="J117" i="7"/>
  <c r="I117" i="7"/>
  <c r="K117" i="7" s="1"/>
  <c r="J115" i="7"/>
  <c r="J114" i="7"/>
  <c r="J113" i="7"/>
  <c r="I113" i="7"/>
  <c r="K113" i="7" s="1"/>
  <c r="J112" i="7"/>
  <c r="I112" i="7"/>
  <c r="K112" i="7" s="1"/>
  <c r="J111" i="7"/>
  <c r="I111" i="7"/>
  <c r="K111" i="7" s="1"/>
  <c r="J110" i="7"/>
  <c r="I110" i="7"/>
  <c r="K110" i="7" s="1"/>
  <c r="J109" i="7"/>
  <c r="I109" i="7"/>
  <c r="K109" i="7" s="1"/>
  <c r="J108" i="7"/>
  <c r="I108" i="7"/>
  <c r="K108" i="7" s="1"/>
  <c r="J107" i="7"/>
  <c r="J106" i="7"/>
  <c r="J105" i="7"/>
  <c r="J104" i="7"/>
  <c r="N102" i="7"/>
  <c r="L102" i="7"/>
  <c r="O102" i="7" s="1"/>
  <c r="L100" i="7"/>
  <c r="L99" i="7"/>
  <c r="N98" i="7"/>
  <c r="M98" i="7"/>
  <c r="O97" i="7"/>
  <c r="O95" i="7"/>
  <c r="N95" i="7"/>
  <c r="M95" i="7"/>
  <c r="P95" i="7" s="1"/>
  <c r="L95" i="7"/>
  <c r="J93" i="7"/>
  <c r="I93" i="7"/>
  <c r="K93" i="7" s="1"/>
  <c r="J92" i="7"/>
  <c r="I92" i="7"/>
  <c r="K92" i="7" s="1"/>
  <c r="J90" i="7"/>
  <c r="J89" i="7"/>
  <c r="J88" i="7"/>
  <c r="I88" i="7"/>
  <c r="K88" i="7" s="1"/>
  <c r="J87" i="7"/>
  <c r="I87" i="7"/>
  <c r="K87" i="7" s="1"/>
  <c r="J86" i="7"/>
  <c r="I86" i="7"/>
  <c r="K86" i="7" s="1"/>
  <c r="J85" i="7"/>
  <c r="I85" i="7"/>
  <c r="K85" i="7" s="1"/>
  <c r="J84" i="7"/>
  <c r="I84" i="7"/>
  <c r="K84" i="7" s="1"/>
  <c r="J83" i="7"/>
  <c r="I83" i="7"/>
  <c r="K83" i="7" s="1"/>
  <c r="J82" i="7"/>
  <c r="I82" i="7"/>
  <c r="K82" i="7" s="1"/>
  <c r="J81" i="7"/>
  <c r="I81" i="7"/>
  <c r="K81" i="7" s="1"/>
  <c r="J80" i="7"/>
  <c r="I80" i="7"/>
  <c r="K80" i="7" s="1"/>
  <c r="J79" i="7"/>
  <c r="J78" i="7"/>
  <c r="J77" i="7"/>
  <c r="J76" i="7"/>
  <c r="N74" i="7"/>
  <c r="L74" i="7"/>
  <c r="O74" i="7" s="1"/>
  <c r="L72" i="7"/>
  <c r="L71" i="7"/>
  <c r="N70" i="7"/>
  <c r="M70" i="7"/>
  <c r="O69" i="7"/>
  <c r="N67" i="7"/>
  <c r="M67" i="7"/>
  <c r="P67" i="7" s="1"/>
  <c r="L67" i="7"/>
  <c r="O67" i="7" s="1"/>
  <c r="J65" i="7"/>
  <c r="I65" i="7"/>
  <c r="K65" i="7" s="1"/>
  <c r="J64" i="7"/>
  <c r="I64" i="7"/>
  <c r="K64" i="7" s="1"/>
  <c r="N61" i="7"/>
  <c r="L61" i="7"/>
  <c r="O61" i="7" s="1"/>
  <c r="L59" i="7"/>
  <c r="L58" i="7"/>
  <c r="N57" i="7"/>
  <c r="M57" i="7"/>
  <c r="O54" i="7"/>
  <c r="N54" i="7"/>
  <c r="M54" i="7"/>
  <c r="P54" i="7" s="1"/>
  <c r="L54" i="7"/>
  <c r="N49" i="7"/>
  <c r="L49" i="7"/>
  <c r="L47" i="7"/>
  <c r="L46" i="7"/>
  <c r="N45" i="7"/>
  <c r="M45" i="7"/>
  <c r="M43" i="7" s="1"/>
  <c r="P42" i="7"/>
  <c r="N42" i="7"/>
  <c r="M42" i="7"/>
  <c r="L42" i="7"/>
  <c r="O42" i="7" s="1"/>
  <c r="P36" i="7"/>
  <c r="O36" i="7"/>
  <c r="P35" i="7"/>
  <c r="O35" i="7"/>
  <c r="M34" i="7"/>
  <c r="P34" i="7" s="1"/>
  <c r="P33" i="7"/>
  <c r="M33" i="7"/>
  <c r="M32" i="7"/>
  <c r="P32" i="7" s="1"/>
  <c r="M31" i="7"/>
  <c r="P31" i="7" s="1"/>
  <c r="M30" i="7"/>
  <c r="P30" i="7" s="1"/>
  <c r="O25" i="7"/>
  <c r="N25" i="7"/>
  <c r="M25" i="7"/>
  <c r="P25" i="7" s="1"/>
  <c r="L25" i="7"/>
  <c r="N24" i="7"/>
  <c r="M24" i="7"/>
  <c r="P24" i="7" s="1"/>
  <c r="N23" i="7"/>
  <c r="M23" i="7"/>
  <c r="P21" i="7"/>
  <c r="N21" i="7"/>
  <c r="M21" i="7"/>
  <c r="L21" i="7"/>
  <c r="O21" i="7" s="1"/>
  <c r="P19" i="7"/>
  <c r="O19" i="7"/>
  <c r="N19" i="7"/>
  <c r="M19" i="7"/>
  <c r="L19" i="7"/>
  <c r="N15" i="7"/>
  <c r="M15" i="7"/>
  <c r="P15" i="7" s="1"/>
  <c r="L15" i="7"/>
  <c r="O15" i="7" s="1"/>
  <c r="M14" i="7"/>
  <c r="P14" i="7" s="1"/>
  <c r="M11" i="7"/>
  <c r="P11" i="7" s="1"/>
  <c r="M9" i="7"/>
  <c r="J677" i="6"/>
  <c r="J676" i="6"/>
  <c r="J675" i="6"/>
  <c r="J674" i="6"/>
  <c r="J673" i="6"/>
  <c r="J672" i="6"/>
  <c r="N671" i="6"/>
  <c r="L671" i="6"/>
  <c r="O671" i="6" s="1"/>
  <c r="I671" i="6"/>
  <c r="K671" i="6" s="1"/>
  <c r="J670" i="6"/>
  <c r="J669" i="6"/>
  <c r="N668" i="6"/>
  <c r="L668" i="6"/>
  <c r="O668" i="6" s="1"/>
  <c r="J668" i="6"/>
  <c r="I668" i="6"/>
  <c r="K668" i="6" s="1"/>
  <c r="J667" i="6"/>
  <c r="J666" i="6"/>
  <c r="N665" i="6"/>
  <c r="L665" i="6"/>
  <c r="J665" i="6"/>
  <c r="I665" i="6"/>
  <c r="K665" i="6" s="1"/>
  <c r="J663" i="6"/>
  <c r="I663" i="6"/>
  <c r="K663" i="6" s="1"/>
  <c r="J662" i="6"/>
  <c r="N661" i="6"/>
  <c r="L661" i="6"/>
  <c r="O661" i="6" s="1"/>
  <c r="J661" i="6"/>
  <c r="J660" i="6"/>
  <c r="J659" i="6"/>
  <c r="J658" i="6"/>
  <c r="J657" i="6"/>
  <c r="J656" i="6"/>
  <c r="J655" i="6"/>
  <c r="J653" i="6"/>
  <c r="J652" i="6"/>
  <c r="N651" i="6"/>
  <c r="L651" i="6"/>
  <c r="O651" i="6" s="1"/>
  <c r="I651" i="6"/>
  <c r="K651" i="6" s="1"/>
  <c r="N650" i="6"/>
  <c r="L650" i="6"/>
  <c r="O650" i="6" s="1"/>
  <c r="J650" i="6"/>
  <c r="I650" i="6"/>
  <c r="K650" i="6" s="1"/>
  <c r="N649" i="6"/>
  <c r="L649" i="6"/>
  <c r="J649" i="6"/>
  <c r="I649" i="6"/>
  <c r="N648" i="6"/>
  <c r="L648" i="6"/>
  <c r="J648" i="6"/>
  <c r="I648" i="6"/>
  <c r="J647" i="6"/>
  <c r="J646" i="6"/>
  <c r="O639" i="6"/>
  <c r="O637" i="6"/>
  <c r="J635" i="6"/>
  <c r="I635" i="6"/>
  <c r="J634" i="6"/>
  <c r="I634" i="6"/>
  <c r="J633" i="6"/>
  <c r="I633" i="6"/>
  <c r="J632" i="6"/>
  <c r="I632" i="6"/>
  <c r="J631" i="6"/>
  <c r="I631" i="6"/>
  <c r="J630" i="6"/>
  <c r="I630" i="6"/>
  <c r="J629" i="6"/>
  <c r="I629" i="6"/>
  <c r="J628" i="6"/>
  <c r="I628" i="6"/>
  <c r="J626" i="6"/>
  <c r="I626" i="6"/>
  <c r="J625" i="6"/>
  <c r="I625" i="6"/>
  <c r="J624" i="6"/>
  <c r="I624" i="6"/>
  <c r="J623" i="6"/>
  <c r="I623" i="6"/>
  <c r="J622" i="6"/>
  <c r="I622" i="6"/>
  <c r="J621" i="6"/>
  <c r="I621" i="6"/>
  <c r="J620" i="6"/>
  <c r="I620" i="6"/>
  <c r="J619" i="6"/>
  <c r="I619" i="6"/>
  <c r="J618" i="6"/>
  <c r="I618" i="6"/>
  <c r="J617" i="6"/>
  <c r="I617" i="6"/>
  <c r="J616" i="6"/>
  <c r="I616" i="6"/>
  <c r="J615" i="6"/>
  <c r="I615" i="6"/>
  <c r="J614" i="6"/>
  <c r="I614" i="6"/>
  <c r="J613" i="6"/>
  <c r="I613" i="6"/>
  <c r="J612" i="6"/>
  <c r="I612" i="6"/>
  <c r="J611" i="6"/>
  <c r="I611" i="6"/>
  <c r="J610" i="6"/>
  <c r="J609" i="6"/>
  <c r="J608" i="6"/>
  <c r="J607" i="6"/>
  <c r="N605" i="6"/>
  <c r="N604" i="6"/>
  <c r="N603" i="6"/>
  <c r="N602" i="6"/>
  <c r="N601" i="6"/>
  <c r="L601" i="6"/>
  <c r="N600" i="6"/>
  <c r="L600" i="6"/>
  <c r="O600" i="6" s="1"/>
  <c r="N599" i="6"/>
  <c r="L599" i="6"/>
  <c r="N598" i="6"/>
  <c r="L598" i="6"/>
  <c r="O598" i="6" s="1"/>
  <c r="N597" i="6"/>
  <c r="L597" i="6"/>
  <c r="J597" i="6"/>
  <c r="I597" i="6"/>
  <c r="J596" i="6"/>
  <c r="I596" i="6"/>
  <c r="K596" i="6" s="1"/>
  <c r="J595" i="6"/>
  <c r="I595" i="6"/>
  <c r="K595" i="6" s="1"/>
  <c r="J594" i="6"/>
  <c r="I594" i="6"/>
  <c r="K594" i="6" s="1"/>
  <c r="J593" i="6"/>
  <c r="I593" i="6"/>
  <c r="J592" i="6"/>
  <c r="I592" i="6"/>
  <c r="K592" i="6" s="1"/>
  <c r="J591" i="6"/>
  <c r="I591" i="6"/>
  <c r="K591" i="6" s="1"/>
  <c r="J590" i="6"/>
  <c r="I590" i="6"/>
  <c r="K590" i="6" s="1"/>
  <c r="J589" i="6"/>
  <c r="I589" i="6"/>
  <c r="N588" i="6"/>
  <c r="N587" i="6"/>
  <c r="N586" i="6"/>
  <c r="N585" i="6"/>
  <c r="N584" i="6"/>
  <c r="L584" i="6"/>
  <c r="N583" i="6"/>
  <c r="L583" i="6"/>
  <c r="O583" i="6" s="1"/>
  <c r="N582" i="6"/>
  <c r="L582" i="6"/>
  <c r="O582" i="6" s="1"/>
  <c r="N581" i="6"/>
  <c r="L581" i="6"/>
  <c r="N580" i="6"/>
  <c r="L580" i="6"/>
  <c r="O580" i="6" s="1"/>
  <c r="J580" i="6"/>
  <c r="I580" i="6"/>
  <c r="K580" i="6" s="1"/>
  <c r="J579" i="6"/>
  <c r="I579" i="6"/>
  <c r="J578" i="6"/>
  <c r="I578" i="6"/>
  <c r="K578" i="6" s="1"/>
  <c r="J577" i="6"/>
  <c r="I577" i="6"/>
  <c r="K577" i="6" s="1"/>
  <c r="J576" i="6"/>
  <c r="I576" i="6"/>
  <c r="K576" i="6" s="1"/>
  <c r="J575" i="6"/>
  <c r="I575" i="6"/>
  <c r="K575" i="6" s="1"/>
  <c r="J573" i="6"/>
  <c r="I573" i="6"/>
  <c r="N572" i="6"/>
  <c r="N571" i="6"/>
  <c r="N570" i="6"/>
  <c r="N569" i="6"/>
  <c r="N568" i="6"/>
  <c r="L568" i="6"/>
  <c r="N567" i="6"/>
  <c r="L567" i="6"/>
  <c r="O567" i="6" s="1"/>
  <c r="N566" i="6"/>
  <c r="L566" i="6"/>
  <c r="N565" i="6"/>
  <c r="L565" i="6"/>
  <c r="O565" i="6" s="1"/>
  <c r="N564" i="6"/>
  <c r="L564" i="6"/>
  <c r="J564" i="6"/>
  <c r="I564" i="6"/>
  <c r="J561" i="6"/>
  <c r="I561" i="6"/>
  <c r="K561" i="6" s="1"/>
  <c r="J560" i="6"/>
  <c r="I560" i="6"/>
  <c r="K560" i="6" s="1"/>
  <c r="N559" i="6"/>
  <c r="N558" i="6"/>
  <c r="N557" i="6"/>
  <c r="N556" i="6"/>
  <c r="N555" i="6"/>
  <c r="L555" i="6"/>
  <c r="O555" i="6" s="1"/>
  <c r="N554" i="6"/>
  <c r="L554" i="6"/>
  <c r="O554" i="6" s="1"/>
  <c r="N553" i="6"/>
  <c r="L553" i="6"/>
  <c r="O553" i="6" s="1"/>
  <c r="N552" i="6"/>
  <c r="L552" i="6"/>
  <c r="O552" i="6" s="1"/>
  <c r="N551" i="6"/>
  <c r="L551" i="6"/>
  <c r="O551" i="6" s="1"/>
  <c r="J551" i="6"/>
  <c r="I551" i="6"/>
  <c r="K551" i="6" s="1"/>
  <c r="J550" i="6"/>
  <c r="J549" i="6"/>
  <c r="J548" i="6"/>
  <c r="I548" i="6"/>
  <c r="K548" i="6" s="1"/>
  <c r="J547" i="6"/>
  <c r="I547" i="6"/>
  <c r="J546" i="6"/>
  <c r="J545" i="6"/>
  <c r="J544" i="6"/>
  <c r="J543" i="6"/>
  <c r="N541" i="6"/>
  <c r="N540" i="6"/>
  <c r="N539" i="6"/>
  <c r="N538" i="6"/>
  <c r="N537" i="6"/>
  <c r="L537" i="6"/>
  <c r="N536" i="6"/>
  <c r="L536" i="6"/>
  <c r="O536" i="6" s="1"/>
  <c r="N535" i="6"/>
  <c r="L535" i="6"/>
  <c r="N534" i="6"/>
  <c r="L534" i="6"/>
  <c r="O534" i="6" s="1"/>
  <c r="N533" i="6"/>
  <c r="L533" i="6"/>
  <c r="J533" i="6"/>
  <c r="I533" i="6"/>
  <c r="J532" i="6"/>
  <c r="I532" i="6"/>
  <c r="J531" i="6"/>
  <c r="I531" i="6"/>
  <c r="J530" i="6"/>
  <c r="I530" i="6"/>
  <c r="J529" i="6"/>
  <c r="I529" i="6"/>
  <c r="J528" i="6"/>
  <c r="I528" i="6"/>
  <c r="J527" i="6"/>
  <c r="I527" i="6"/>
  <c r="J526" i="6"/>
  <c r="I526" i="6"/>
  <c r="J525" i="6"/>
  <c r="I525" i="6"/>
  <c r="J524" i="6"/>
  <c r="I524" i="6"/>
  <c r="J523" i="6"/>
  <c r="I523" i="6"/>
  <c r="J522" i="6"/>
  <c r="I522" i="6"/>
  <c r="J521" i="6"/>
  <c r="I521" i="6"/>
  <c r="J520" i="6"/>
  <c r="I520" i="6"/>
  <c r="J519" i="6"/>
  <c r="I519" i="6"/>
  <c r="J518" i="6"/>
  <c r="I518" i="6"/>
  <c r="J517" i="6"/>
  <c r="I517" i="6"/>
  <c r="J516" i="6"/>
  <c r="I516" i="6"/>
  <c r="J515" i="6"/>
  <c r="I515" i="6"/>
  <c r="K515" i="6" s="1"/>
  <c r="J514" i="6"/>
  <c r="I514" i="6"/>
  <c r="K514" i="6" s="1"/>
  <c r="J513" i="6"/>
  <c r="I513" i="6"/>
  <c r="K513" i="6" s="1"/>
  <c r="J512" i="6"/>
  <c r="I512" i="6"/>
  <c r="K512" i="6" s="1"/>
  <c r="J511" i="6"/>
  <c r="I511" i="6"/>
  <c r="K511" i="6" s="1"/>
  <c r="J510" i="6"/>
  <c r="I510" i="6"/>
  <c r="K510" i="6" s="1"/>
  <c r="J509" i="6"/>
  <c r="I509" i="6"/>
  <c r="K509" i="6" s="1"/>
  <c r="J508" i="6"/>
  <c r="I508" i="6"/>
  <c r="K508" i="6" s="1"/>
  <c r="J507" i="6"/>
  <c r="I507" i="6"/>
  <c r="K507" i="6" s="1"/>
  <c r="J506" i="6"/>
  <c r="I506" i="6"/>
  <c r="K506" i="6" s="1"/>
  <c r="J505" i="6"/>
  <c r="I505" i="6"/>
  <c r="K505" i="6" s="1"/>
  <c r="J504" i="6"/>
  <c r="I504" i="6"/>
  <c r="K504" i="6" s="1"/>
  <c r="J503" i="6"/>
  <c r="I503" i="6"/>
  <c r="K503" i="6" s="1"/>
  <c r="J502" i="6"/>
  <c r="I502" i="6"/>
  <c r="K502" i="6" s="1"/>
  <c r="J501" i="6"/>
  <c r="I501" i="6"/>
  <c r="K501" i="6" s="1"/>
  <c r="J500" i="6"/>
  <c r="I500" i="6"/>
  <c r="K500" i="6" s="1"/>
  <c r="J499" i="6"/>
  <c r="I499" i="6"/>
  <c r="K499" i="6" s="1"/>
  <c r="J498" i="6"/>
  <c r="I498" i="6"/>
  <c r="K498" i="6" s="1"/>
  <c r="J497" i="6"/>
  <c r="I497" i="6"/>
  <c r="K497" i="6" s="1"/>
  <c r="J496" i="6"/>
  <c r="I496" i="6"/>
  <c r="K496" i="6" s="1"/>
  <c r="J495" i="6"/>
  <c r="I495" i="6"/>
  <c r="K495" i="6" s="1"/>
  <c r="J494" i="6"/>
  <c r="I494" i="6"/>
  <c r="K494" i="6" s="1"/>
  <c r="J493" i="6"/>
  <c r="I493" i="6"/>
  <c r="K493" i="6" s="1"/>
  <c r="J492" i="6"/>
  <c r="I492" i="6"/>
  <c r="K492" i="6" s="1"/>
  <c r="J491" i="6"/>
  <c r="I491" i="6"/>
  <c r="K491" i="6" s="1"/>
  <c r="J490" i="6"/>
  <c r="I490" i="6"/>
  <c r="K490" i="6" s="1"/>
  <c r="J489" i="6"/>
  <c r="I489" i="6"/>
  <c r="K489" i="6" s="1"/>
  <c r="J488" i="6"/>
  <c r="I488" i="6"/>
  <c r="K488" i="6" s="1"/>
  <c r="J487" i="6"/>
  <c r="I487" i="6"/>
  <c r="K487" i="6" s="1"/>
  <c r="J486" i="6"/>
  <c r="I486" i="6"/>
  <c r="K486" i="6" s="1"/>
  <c r="J485" i="6"/>
  <c r="I485" i="6"/>
  <c r="K485" i="6" s="1"/>
  <c r="J484" i="6"/>
  <c r="I484" i="6"/>
  <c r="K484" i="6" s="1"/>
  <c r="J483" i="6"/>
  <c r="I483" i="6"/>
  <c r="K483" i="6" s="1"/>
  <c r="J482" i="6"/>
  <c r="I482" i="6"/>
  <c r="J481" i="6"/>
  <c r="I481" i="6"/>
  <c r="J480" i="6"/>
  <c r="I480" i="6"/>
  <c r="K480" i="6" s="1"/>
  <c r="J479" i="6"/>
  <c r="I479" i="6"/>
  <c r="K479" i="6" s="1"/>
  <c r="J478" i="6"/>
  <c r="I478" i="6"/>
  <c r="K478" i="6" s="1"/>
  <c r="J477" i="6"/>
  <c r="I477" i="6"/>
  <c r="K477" i="6" s="1"/>
  <c r="J476" i="6"/>
  <c r="I476" i="6"/>
  <c r="K476" i="6" s="1"/>
  <c r="J475" i="6"/>
  <c r="I475" i="6"/>
  <c r="K475" i="6" s="1"/>
  <c r="J474" i="6"/>
  <c r="I474" i="6"/>
  <c r="J473" i="6"/>
  <c r="I473" i="6"/>
  <c r="J472" i="6"/>
  <c r="I472" i="6"/>
  <c r="K472" i="6" s="1"/>
  <c r="J471" i="6"/>
  <c r="I471" i="6"/>
  <c r="K471" i="6" s="1"/>
  <c r="J470" i="6"/>
  <c r="I470" i="6"/>
  <c r="K470" i="6" s="1"/>
  <c r="J469" i="6"/>
  <c r="I469" i="6"/>
  <c r="K469" i="6" s="1"/>
  <c r="J468" i="6"/>
  <c r="I468" i="6"/>
  <c r="K468" i="6" s="1"/>
  <c r="J467" i="6"/>
  <c r="I467" i="6"/>
  <c r="K467" i="6" s="1"/>
  <c r="J466" i="6"/>
  <c r="I466" i="6"/>
  <c r="J465" i="6"/>
  <c r="I465" i="6"/>
  <c r="J464" i="6"/>
  <c r="I464" i="6"/>
  <c r="N463" i="6"/>
  <c r="N462" i="6"/>
  <c r="N461" i="6"/>
  <c r="N460" i="6"/>
  <c r="N459" i="6"/>
  <c r="L459" i="6"/>
  <c r="N458" i="6"/>
  <c r="L458" i="6"/>
  <c r="N457" i="6"/>
  <c r="L457" i="6"/>
  <c r="N456" i="6"/>
  <c r="L456" i="6"/>
  <c r="N455" i="6"/>
  <c r="L455" i="6"/>
  <c r="J455" i="6"/>
  <c r="I455" i="6"/>
  <c r="J454" i="6"/>
  <c r="J453" i="6"/>
  <c r="J452" i="6"/>
  <c r="I452" i="6"/>
  <c r="K452" i="6" s="1"/>
  <c r="J451" i="6"/>
  <c r="I451" i="6"/>
  <c r="K451" i="6" s="1"/>
  <c r="J450" i="6"/>
  <c r="I450" i="6"/>
  <c r="J449" i="6"/>
  <c r="I449" i="6"/>
  <c r="J448" i="6"/>
  <c r="J447" i="6"/>
  <c r="J446" i="6"/>
  <c r="J445" i="6"/>
  <c r="N443" i="6"/>
  <c r="N442" i="6"/>
  <c r="N441" i="6"/>
  <c r="N440" i="6"/>
  <c r="N439" i="6"/>
  <c r="L439" i="6"/>
  <c r="N438" i="6"/>
  <c r="L438" i="6"/>
  <c r="O438" i="6" s="1"/>
  <c r="N437" i="6"/>
  <c r="L437" i="6"/>
  <c r="N436" i="6"/>
  <c r="L436" i="6"/>
  <c r="O436" i="6" s="1"/>
  <c r="N435" i="6"/>
  <c r="L435" i="6"/>
  <c r="J435" i="6"/>
  <c r="I435" i="6"/>
  <c r="J434" i="6"/>
  <c r="J433" i="6"/>
  <c r="J432" i="6"/>
  <c r="I432" i="6"/>
  <c r="J431" i="6"/>
  <c r="I431" i="6"/>
  <c r="J430" i="6"/>
  <c r="I430" i="6"/>
  <c r="J429" i="6"/>
  <c r="I429" i="6"/>
  <c r="J428" i="6"/>
  <c r="I428" i="6"/>
  <c r="J427" i="6"/>
  <c r="I427" i="6"/>
  <c r="J426" i="6"/>
  <c r="I426" i="6"/>
  <c r="J425" i="6"/>
  <c r="I425" i="6"/>
  <c r="J424" i="6"/>
  <c r="I424" i="6"/>
  <c r="J423" i="6"/>
  <c r="I423" i="6"/>
  <c r="J422" i="6"/>
  <c r="I422" i="6"/>
  <c r="J421" i="6"/>
  <c r="I421" i="6"/>
  <c r="J420" i="6"/>
  <c r="I420" i="6"/>
  <c r="J419" i="6"/>
  <c r="I419" i="6"/>
  <c r="J418" i="6"/>
  <c r="I418" i="6"/>
  <c r="J417" i="6"/>
  <c r="I417" i="6"/>
  <c r="J416" i="6"/>
  <c r="I416" i="6"/>
  <c r="J415" i="6"/>
  <c r="J414" i="6"/>
  <c r="J413" i="6"/>
  <c r="J412" i="6"/>
  <c r="N410" i="6"/>
  <c r="N409" i="6"/>
  <c r="N408" i="6"/>
  <c r="N407" i="6"/>
  <c r="N406" i="6"/>
  <c r="L406" i="6"/>
  <c r="N405" i="6"/>
  <c r="L405" i="6"/>
  <c r="O405" i="6" s="1"/>
  <c r="N404" i="6"/>
  <c r="L404" i="6"/>
  <c r="N403" i="6"/>
  <c r="L403" i="6"/>
  <c r="O403" i="6" s="1"/>
  <c r="J402" i="6"/>
  <c r="I402" i="6"/>
  <c r="N401" i="6"/>
  <c r="L401" i="6"/>
  <c r="J401" i="6"/>
  <c r="I401" i="6"/>
  <c r="J400" i="6"/>
  <c r="J399" i="6"/>
  <c r="J398" i="6"/>
  <c r="I398" i="6"/>
  <c r="J397" i="6"/>
  <c r="I397" i="6"/>
  <c r="J396" i="6"/>
  <c r="I396" i="6"/>
  <c r="J394" i="6"/>
  <c r="J393" i="6"/>
  <c r="J392" i="6"/>
  <c r="J391" i="6"/>
  <c r="N389" i="6"/>
  <c r="N388" i="6"/>
  <c r="N387" i="6"/>
  <c r="N386" i="6"/>
  <c r="N385" i="6"/>
  <c r="L385" i="6"/>
  <c r="N384" i="6"/>
  <c r="L384" i="6"/>
  <c r="O384" i="6" s="1"/>
  <c r="N383" i="6"/>
  <c r="L383" i="6"/>
  <c r="N382" i="6"/>
  <c r="L382" i="6"/>
  <c r="O382" i="6" s="1"/>
  <c r="J381" i="6"/>
  <c r="I381" i="6"/>
  <c r="N380" i="6"/>
  <c r="L380" i="6"/>
  <c r="J380" i="6"/>
  <c r="I380" i="6"/>
  <c r="J379" i="6"/>
  <c r="J378" i="6"/>
  <c r="J377" i="6"/>
  <c r="I377" i="6"/>
  <c r="K377" i="6" s="1"/>
  <c r="J376" i="6"/>
  <c r="I376" i="6"/>
  <c r="K376" i="6" s="1"/>
  <c r="J375" i="6"/>
  <c r="I375" i="6"/>
  <c r="K375" i="6" s="1"/>
  <c r="J374" i="6"/>
  <c r="I374" i="6"/>
  <c r="J373" i="6"/>
  <c r="I373" i="6"/>
  <c r="K373" i="6" s="1"/>
  <c r="J372" i="6"/>
  <c r="I372" i="6"/>
  <c r="K372" i="6" s="1"/>
  <c r="J371" i="6"/>
  <c r="I371" i="6"/>
  <c r="J370" i="6"/>
  <c r="I370" i="6"/>
  <c r="K370" i="6" s="1"/>
  <c r="J369" i="6"/>
  <c r="I369" i="6"/>
  <c r="K369" i="6" s="1"/>
  <c r="J368" i="6"/>
  <c r="I368" i="6"/>
  <c r="K368" i="6" s="1"/>
  <c r="J367" i="6"/>
  <c r="J366" i="6"/>
  <c r="J365" i="6"/>
  <c r="I365" i="6"/>
  <c r="K365" i="6" s="1"/>
  <c r="J364" i="6"/>
  <c r="J363" i="6"/>
  <c r="J362" i="6"/>
  <c r="J361" i="6"/>
  <c r="J360" i="6"/>
  <c r="N358" i="6"/>
  <c r="N357" i="6"/>
  <c r="N356" i="6"/>
  <c r="N355" i="6"/>
  <c r="N354" i="6"/>
  <c r="L354" i="6"/>
  <c r="O354" i="6" s="1"/>
  <c r="N353" i="6"/>
  <c r="L353" i="6"/>
  <c r="O353" i="6" s="1"/>
  <c r="N352" i="6"/>
  <c r="L352" i="6"/>
  <c r="O352" i="6" s="1"/>
  <c r="N351" i="6"/>
  <c r="L351" i="6"/>
  <c r="O351" i="6" s="1"/>
  <c r="J350" i="6"/>
  <c r="I350" i="6"/>
  <c r="K350" i="6" s="1"/>
  <c r="N349" i="6"/>
  <c r="L349" i="6"/>
  <c r="O349" i="6" s="1"/>
  <c r="J349" i="6"/>
  <c r="I349" i="6"/>
  <c r="K349" i="6" s="1"/>
  <c r="N347" i="6"/>
  <c r="L347" i="6"/>
  <c r="J346" i="6"/>
  <c r="I346" i="6"/>
  <c r="K346" i="6" s="1"/>
  <c r="J345" i="6"/>
  <c r="I345" i="6"/>
  <c r="J344" i="6"/>
  <c r="I344" i="6"/>
  <c r="K344" i="6" s="1"/>
  <c r="J343" i="6"/>
  <c r="I343" i="6"/>
  <c r="J342" i="6"/>
  <c r="I342" i="6"/>
  <c r="K342" i="6" s="1"/>
  <c r="J341" i="6"/>
  <c r="I341" i="6"/>
  <c r="J340" i="6"/>
  <c r="I340" i="6"/>
  <c r="J339" i="6"/>
  <c r="I339" i="6"/>
  <c r="N337" i="6"/>
  <c r="L337" i="6"/>
  <c r="O337" i="6" s="1"/>
  <c r="L335" i="6"/>
  <c r="L334" i="6"/>
  <c r="N333" i="6"/>
  <c r="M333" i="6"/>
  <c r="M331" i="6" s="1"/>
  <c r="M329" i="6" s="1"/>
  <c r="O332" i="6"/>
  <c r="P330" i="6"/>
  <c r="N330" i="6"/>
  <c r="M330" i="6"/>
  <c r="L330" i="6"/>
  <c r="O330" i="6" s="1"/>
  <c r="J328" i="6"/>
  <c r="I328" i="6"/>
  <c r="J326" i="6"/>
  <c r="J325" i="6"/>
  <c r="J324" i="6"/>
  <c r="I324" i="6"/>
  <c r="K324" i="6" s="1"/>
  <c r="J323" i="6"/>
  <c r="J322" i="6"/>
  <c r="J321" i="6"/>
  <c r="J320" i="6"/>
  <c r="N318" i="6"/>
  <c r="L318" i="6"/>
  <c r="O318" i="6" s="1"/>
  <c r="L316" i="6"/>
  <c r="L315" i="6"/>
  <c r="N314" i="6"/>
  <c r="M314" i="6"/>
  <c r="P314" i="6" s="1"/>
  <c r="O313" i="6"/>
  <c r="P311" i="6"/>
  <c r="N311" i="6"/>
  <c r="M311" i="6"/>
  <c r="L311" i="6"/>
  <c r="O311" i="6" s="1"/>
  <c r="J309" i="6"/>
  <c r="I309" i="6"/>
  <c r="K309" i="6" s="1"/>
  <c r="J308" i="6"/>
  <c r="J307" i="6"/>
  <c r="J306" i="6"/>
  <c r="I306" i="6"/>
  <c r="K306" i="6" s="1"/>
  <c r="J304" i="6"/>
  <c r="I304" i="6"/>
  <c r="K304" i="6" s="1"/>
  <c r="J303" i="6"/>
  <c r="J302" i="6"/>
  <c r="J301" i="6"/>
  <c r="J300" i="6"/>
  <c r="N298" i="6"/>
  <c r="L298" i="6"/>
  <c r="O298" i="6" s="1"/>
  <c r="L296" i="6"/>
  <c r="L295" i="6"/>
  <c r="N294" i="6"/>
  <c r="M294" i="6"/>
  <c r="P294" i="6" s="1"/>
  <c r="O293" i="6"/>
  <c r="O291" i="6"/>
  <c r="N291" i="6"/>
  <c r="M291" i="6"/>
  <c r="P291" i="6" s="1"/>
  <c r="L291" i="6"/>
  <c r="J289" i="6"/>
  <c r="I289" i="6"/>
  <c r="K289" i="6" s="1"/>
  <c r="J287" i="6"/>
  <c r="J286" i="6"/>
  <c r="J285" i="6"/>
  <c r="I285" i="6"/>
  <c r="K285" i="6" s="1"/>
  <c r="J284" i="6"/>
  <c r="J283" i="6"/>
  <c r="J282" i="6"/>
  <c r="J281" i="6"/>
  <c r="N279" i="6"/>
  <c r="L279" i="6"/>
  <c r="O279" i="6" s="1"/>
  <c r="L277" i="6"/>
  <c r="L276" i="6"/>
  <c r="N275" i="6"/>
  <c r="M275" i="6"/>
  <c r="M273" i="6" s="1"/>
  <c r="P273" i="6" s="1"/>
  <c r="O274" i="6"/>
  <c r="O272" i="6"/>
  <c r="N272" i="6"/>
  <c r="M272" i="6"/>
  <c r="P272" i="6" s="1"/>
  <c r="L272" i="6"/>
  <c r="J270" i="6"/>
  <c r="I270" i="6"/>
  <c r="K270" i="6" s="1"/>
  <c r="J269" i="6"/>
  <c r="J268" i="6"/>
  <c r="J267" i="6"/>
  <c r="I267" i="6"/>
  <c r="K267" i="6" s="1"/>
  <c r="J266" i="6"/>
  <c r="I266" i="6"/>
  <c r="K266" i="6" s="1"/>
  <c r="J265" i="6"/>
  <c r="I265" i="6"/>
  <c r="K265" i="6" s="1"/>
  <c r="J264" i="6"/>
  <c r="I264" i="6"/>
  <c r="K264" i="6" s="1"/>
  <c r="J263" i="6"/>
  <c r="J262" i="6"/>
  <c r="J261" i="6"/>
  <c r="J260" i="6"/>
  <c r="N258" i="6"/>
  <c r="L258" i="6"/>
  <c r="O258" i="6" s="1"/>
  <c r="L256" i="6"/>
  <c r="L255" i="6"/>
  <c r="N254" i="6"/>
  <c r="M254" i="6"/>
  <c r="P254" i="6" s="1"/>
  <c r="O253" i="6"/>
  <c r="P251" i="6"/>
  <c r="N251" i="6"/>
  <c r="M251" i="6"/>
  <c r="L251" i="6"/>
  <c r="O251" i="6" s="1"/>
  <c r="J249" i="6"/>
  <c r="I249" i="6"/>
  <c r="K249" i="6" s="1"/>
  <c r="J246" i="6"/>
  <c r="J245" i="6"/>
  <c r="J244" i="6"/>
  <c r="I244" i="6"/>
  <c r="K244" i="6" s="1"/>
  <c r="J243" i="6"/>
  <c r="J242" i="6"/>
  <c r="J241" i="6"/>
  <c r="J240" i="6"/>
  <c r="J238" i="6"/>
  <c r="I238" i="6"/>
  <c r="K238" i="6" s="1"/>
  <c r="J237" i="6"/>
  <c r="J236" i="6"/>
  <c r="J235" i="6"/>
  <c r="I235" i="6"/>
  <c r="J234" i="6"/>
  <c r="J233" i="6"/>
  <c r="J232" i="6"/>
  <c r="J231" i="6"/>
  <c r="J229" i="6"/>
  <c r="I229" i="6"/>
  <c r="N228" i="6"/>
  <c r="L228" i="6"/>
  <c r="O228" i="6" s="1"/>
  <c r="L226" i="6"/>
  <c r="L225" i="6"/>
  <c r="N224" i="6"/>
  <c r="M224" i="6"/>
  <c r="M222" i="6" s="1"/>
  <c r="O223" i="6"/>
  <c r="O221" i="6"/>
  <c r="N221" i="6"/>
  <c r="M221" i="6"/>
  <c r="P221" i="6" s="1"/>
  <c r="L221" i="6"/>
  <c r="J219" i="6"/>
  <c r="I219" i="6"/>
  <c r="J218" i="6"/>
  <c r="J217" i="6"/>
  <c r="J216" i="6"/>
  <c r="I216" i="6"/>
  <c r="K216" i="6" s="1"/>
  <c r="J215" i="6"/>
  <c r="I215" i="6"/>
  <c r="K215" i="6" s="1"/>
  <c r="J213" i="6"/>
  <c r="I213" i="6"/>
  <c r="K213" i="6" s="1"/>
  <c r="J212" i="6"/>
  <c r="J211" i="6"/>
  <c r="J210" i="6"/>
  <c r="J209" i="6"/>
  <c r="J204" i="6"/>
  <c r="I204" i="6"/>
  <c r="K204" i="6" s="1"/>
  <c r="J203" i="6"/>
  <c r="J202" i="6"/>
  <c r="J201" i="6"/>
  <c r="I201" i="6"/>
  <c r="K201" i="6" s="1"/>
  <c r="J200" i="6"/>
  <c r="I200" i="6"/>
  <c r="J199" i="6"/>
  <c r="I199" i="6"/>
  <c r="J197" i="6"/>
  <c r="J196" i="6"/>
  <c r="J195" i="6"/>
  <c r="J194" i="6"/>
  <c r="J189" i="6"/>
  <c r="I189" i="6"/>
  <c r="J188" i="6"/>
  <c r="J187" i="6"/>
  <c r="J186" i="6"/>
  <c r="I186" i="6"/>
  <c r="K186" i="6" s="1"/>
  <c r="J185" i="6"/>
  <c r="I185" i="6"/>
  <c r="K185" i="6" s="1"/>
  <c r="J184" i="6"/>
  <c r="J183" i="6"/>
  <c r="J182" i="6"/>
  <c r="J181" i="6"/>
  <c r="J176" i="6"/>
  <c r="I176" i="6"/>
  <c r="K176" i="6" s="1"/>
  <c r="J175" i="6"/>
  <c r="J174" i="6"/>
  <c r="J173" i="6"/>
  <c r="I173" i="6"/>
  <c r="J172" i="6"/>
  <c r="J171" i="6"/>
  <c r="J170" i="6"/>
  <c r="J169" i="6"/>
  <c r="J164" i="6"/>
  <c r="I164" i="6"/>
  <c r="J163" i="6"/>
  <c r="J162" i="6"/>
  <c r="J161" i="6"/>
  <c r="J160" i="6"/>
  <c r="J159" i="6"/>
  <c r="J158" i="6"/>
  <c r="I158" i="6"/>
  <c r="J157" i="6"/>
  <c r="J156" i="6"/>
  <c r="J155" i="6"/>
  <c r="J154" i="6"/>
  <c r="J149" i="6"/>
  <c r="I149" i="6"/>
  <c r="N148" i="6"/>
  <c r="L148" i="6"/>
  <c r="O148" i="6" s="1"/>
  <c r="L146" i="6"/>
  <c r="L145" i="6"/>
  <c r="N144" i="6"/>
  <c r="M144" i="6"/>
  <c r="O143" i="6"/>
  <c r="N141" i="6"/>
  <c r="M141" i="6"/>
  <c r="P141" i="6" s="1"/>
  <c r="L141" i="6"/>
  <c r="O141" i="6" s="1"/>
  <c r="J138" i="6"/>
  <c r="I138" i="6"/>
  <c r="J135" i="6"/>
  <c r="J134" i="6"/>
  <c r="J133" i="6"/>
  <c r="I133" i="6"/>
  <c r="K133" i="6" s="1"/>
  <c r="J132" i="6"/>
  <c r="I132" i="6"/>
  <c r="K132" i="6" s="1"/>
  <c r="J131" i="6"/>
  <c r="J130" i="6"/>
  <c r="J129" i="6"/>
  <c r="J128" i="6"/>
  <c r="N126" i="6"/>
  <c r="L126" i="6"/>
  <c r="L124" i="6"/>
  <c r="L123" i="6"/>
  <c r="N122" i="6"/>
  <c r="M122" i="6"/>
  <c r="P122" i="6" s="1"/>
  <c r="O121" i="6"/>
  <c r="N119" i="6"/>
  <c r="M119" i="6"/>
  <c r="L119" i="6"/>
  <c r="O119" i="6" s="1"/>
  <c r="J117" i="6"/>
  <c r="I117" i="6"/>
  <c r="K117" i="6" s="1"/>
  <c r="J115" i="6"/>
  <c r="J114" i="6"/>
  <c r="J113" i="6"/>
  <c r="I113" i="6"/>
  <c r="J112" i="6"/>
  <c r="I112" i="6"/>
  <c r="K112" i="6" s="1"/>
  <c r="J111" i="6"/>
  <c r="I111" i="6"/>
  <c r="K111" i="6" s="1"/>
  <c r="J110" i="6"/>
  <c r="I110" i="6"/>
  <c r="K110" i="6" s="1"/>
  <c r="J109" i="6"/>
  <c r="I109" i="6"/>
  <c r="K109" i="6" s="1"/>
  <c r="J108" i="6"/>
  <c r="I108" i="6"/>
  <c r="K108" i="6" s="1"/>
  <c r="J107" i="6"/>
  <c r="J106" i="6"/>
  <c r="J105" i="6"/>
  <c r="J104" i="6"/>
  <c r="N102" i="6"/>
  <c r="L102" i="6"/>
  <c r="L100" i="6"/>
  <c r="L99" i="6"/>
  <c r="N98" i="6"/>
  <c r="M98" i="6"/>
  <c r="O97" i="6"/>
  <c r="P95" i="6"/>
  <c r="N95" i="6"/>
  <c r="M95" i="6"/>
  <c r="L95" i="6"/>
  <c r="J93" i="6"/>
  <c r="I93" i="6"/>
  <c r="K93" i="6" s="1"/>
  <c r="J92" i="6"/>
  <c r="I92" i="6"/>
  <c r="K92" i="6" s="1"/>
  <c r="J90" i="6"/>
  <c r="J89" i="6"/>
  <c r="J88" i="6"/>
  <c r="I88" i="6"/>
  <c r="K88" i="6" s="1"/>
  <c r="J87" i="6"/>
  <c r="I87" i="6"/>
  <c r="K87" i="6" s="1"/>
  <c r="J86" i="6"/>
  <c r="I86" i="6"/>
  <c r="K86" i="6" s="1"/>
  <c r="J85" i="6"/>
  <c r="I85" i="6"/>
  <c r="K85" i="6" s="1"/>
  <c r="J84" i="6"/>
  <c r="I84" i="6"/>
  <c r="K84" i="6" s="1"/>
  <c r="J83" i="6"/>
  <c r="I83" i="6"/>
  <c r="K83" i="6" s="1"/>
  <c r="J82" i="6"/>
  <c r="I82" i="6"/>
  <c r="K82" i="6" s="1"/>
  <c r="J81" i="6"/>
  <c r="I81" i="6"/>
  <c r="K81" i="6" s="1"/>
  <c r="J80" i="6"/>
  <c r="I80" i="6"/>
  <c r="K80" i="6" s="1"/>
  <c r="J79" i="6"/>
  <c r="J78" i="6"/>
  <c r="J77" i="6"/>
  <c r="J76" i="6"/>
  <c r="N74" i="6"/>
  <c r="L74" i="6"/>
  <c r="O74" i="6" s="1"/>
  <c r="L72" i="6"/>
  <c r="L71" i="6"/>
  <c r="N70" i="6"/>
  <c r="M70" i="6"/>
  <c r="M68" i="6" s="1"/>
  <c r="P68" i="6" s="1"/>
  <c r="O69" i="6"/>
  <c r="P67" i="6"/>
  <c r="O67" i="6"/>
  <c r="N67" i="6"/>
  <c r="M67" i="6"/>
  <c r="L67" i="6"/>
  <c r="J65" i="6"/>
  <c r="I65" i="6"/>
  <c r="K65" i="6" s="1"/>
  <c r="J64" i="6"/>
  <c r="I64" i="6"/>
  <c r="K64" i="6" s="1"/>
  <c r="N61" i="6"/>
  <c r="L61" i="6"/>
  <c r="O61" i="6" s="1"/>
  <c r="L59" i="6"/>
  <c r="L58" i="6"/>
  <c r="N57" i="6"/>
  <c r="M57" i="6"/>
  <c r="M55" i="6" s="1"/>
  <c r="P54" i="6"/>
  <c r="N54" i="6"/>
  <c r="M54" i="6"/>
  <c r="L54" i="6"/>
  <c r="N49" i="6"/>
  <c r="L49" i="6"/>
  <c r="M49" i="6" s="1"/>
  <c r="L47" i="6"/>
  <c r="L46" i="6"/>
  <c r="N45" i="6"/>
  <c r="M45" i="6"/>
  <c r="O42" i="6"/>
  <c r="N42" i="6"/>
  <c r="M42" i="6"/>
  <c r="P42" i="6" s="1"/>
  <c r="L42" i="6"/>
  <c r="P36" i="6"/>
  <c r="O36" i="6"/>
  <c r="P35" i="6"/>
  <c r="O35" i="6"/>
  <c r="P34" i="6"/>
  <c r="M34" i="6"/>
  <c r="M33" i="6"/>
  <c r="P33" i="6" s="1"/>
  <c r="M32" i="6"/>
  <c r="P32" i="6" s="1"/>
  <c r="M31" i="6"/>
  <c r="N25" i="6"/>
  <c r="N15" i="6" s="1"/>
  <c r="M25" i="6"/>
  <c r="P25" i="6" s="1"/>
  <c r="L25" i="6"/>
  <c r="O25" i="6" s="1"/>
  <c r="N24" i="6"/>
  <c r="M24" i="6"/>
  <c r="N23" i="6"/>
  <c r="M23" i="6"/>
  <c r="P23" i="6" s="1"/>
  <c r="P21" i="6"/>
  <c r="O21" i="6"/>
  <c r="N21" i="6"/>
  <c r="M21" i="6"/>
  <c r="L21" i="6"/>
  <c r="N19" i="6"/>
  <c r="M19" i="6"/>
  <c r="P19" i="6" s="1"/>
  <c r="L19" i="6"/>
  <c r="O19" i="6" s="1"/>
  <c r="P15" i="6"/>
  <c r="O15" i="6"/>
  <c r="M15" i="6"/>
  <c r="L15" i="6"/>
  <c r="M13" i="6"/>
  <c r="P13" i="6" s="1"/>
  <c r="J677" i="5"/>
  <c r="J676" i="5"/>
  <c r="J675" i="5"/>
  <c r="J674" i="5"/>
  <c r="J673" i="5"/>
  <c r="J672" i="5"/>
  <c r="N671" i="5"/>
  <c r="L671" i="5"/>
  <c r="O671" i="5" s="1"/>
  <c r="I671" i="5"/>
  <c r="K671" i="5" s="1"/>
  <c r="J670" i="5"/>
  <c r="J669" i="5"/>
  <c r="N668" i="5"/>
  <c r="L668" i="5"/>
  <c r="J668" i="5"/>
  <c r="I668" i="5"/>
  <c r="K668" i="5" s="1"/>
  <c r="J667" i="5"/>
  <c r="J666" i="5"/>
  <c r="N665" i="5"/>
  <c r="L665" i="5"/>
  <c r="J665" i="5"/>
  <c r="I665" i="5"/>
  <c r="K665" i="5" s="1"/>
  <c r="J663" i="5"/>
  <c r="I663" i="5"/>
  <c r="K663" i="5" s="1"/>
  <c r="J662" i="5"/>
  <c r="N661" i="5"/>
  <c r="L661" i="5"/>
  <c r="O661" i="5" s="1"/>
  <c r="J661" i="5"/>
  <c r="J660" i="5"/>
  <c r="J659" i="5"/>
  <c r="J658" i="5"/>
  <c r="J657" i="5"/>
  <c r="J656" i="5"/>
  <c r="J655" i="5"/>
  <c r="J653" i="5"/>
  <c r="J652" i="5"/>
  <c r="N651" i="5"/>
  <c r="L651" i="5"/>
  <c r="I651" i="5"/>
  <c r="K651" i="5" s="1"/>
  <c r="N650" i="5"/>
  <c r="L650" i="5"/>
  <c r="O650" i="5" s="1"/>
  <c r="J650" i="5"/>
  <c r="I650" i="5"/>
  <c r="K650" i="5" s="1"/>
  <c r="N649" i="5"/>
  <c r="L649" i="5"/>
  <c r="O649" i="5" s="1"/>
  <c r="J649" i="5"/>
  <c r="I649" i="5"/>
  <c r="K649" i="5" s="1"/>
  <c r="N648" i="5"/>
  <c r="L648" i="5"/>
  <c r="O648" i="5" s="1"/>
  <c r="J648" i="5"/>
  <c r="I648" i="5"/>
  <c r="K648" i="5" s="1"/>
  <c r="J647" i="5"/>
  <c r="J646" i="5"/>
  <c r="O639" i="5"/>
  <c r="O637" i="5"/>
  <c r="J635" i="5"/>
  <c r="I635" i="5"/>
  <c r="J634" i="5"/>
  <c r="I634" i="5"/>
  <c r="J633" i="5"/>
  <c r="I633" i="5"/>
  <c r="K633" i="5" s="1"/>
  <c r="J632" i="5"/>
  <c r="I632" i="5"/>
  <c r="K632" i="5" s="1"/>
  <c r="J631" i="5"/>
  <c r="I631" i="5"/>
  <c r="J630" i="5"/>
  <c r="I630" i="5"/>
  <c r="J629" i="5"/>
  <c r="I629" i="5"/>
  <c r="J628" i="5"/>
  <c r="I628" i="5"/>
  <c r="J626" i="5"/>
  <c r="I626" i="5"/>
  <c r="J625" i="5"/>
  <c r="I625" i="5"/>
  <c r="J624" i="5"/>
  <c r="I624" i="5"/>
  <c r="J623" i="5"/>
  <c r="I623" i="5"/>
  <c r="J622" i="5"/>
  <c r="I622" i="5"/>
  <c r="J621" i="5"/>
  <c r="I621" i="5"/>
  <c r="J620" i="5"/>
  <c r="I620" i="5"/>
  <c r="J619" i="5"/>
  <c r="I619" i="5"/>
  <c r="J618" i="5"/>
  <c r="I618" i="5"/>
  <c r="J617" i="5"/>
  <c r="I617" i="5"/>
  <c r="J616" i="5"/>
  <c r="I616" i="5"/>
  <c r="J615" i="5"/>
  <c r="I615" i="5"/>
  <c r="J614" i="5"/>
  <c r="I614" i="5"/>
  <c r="J613" i="5"/>
  <c r="I613" i="5"/>
  <c r="J612" i="5"/>
  <c r="I612" i="5"/>
  <c r="J611" i="5"/>
  <c r="I611" i="5"/>
  <c r="J610" i="5"/>
  <c r="J609" i="5"/>
  <c r="J608" i="5"/>
  <c r="J607" i="5"/>
  <c r="N605" i="5"/>
  <c r="N604" i="5"/>
  <c r="N603" i="5"/>
  <c r="N602" i="5"/>
  <c r="N601" i="5"/>
  <c r="L601" i="5"/>
  <c r="N600" i="5"/>
  <c r="L600" i="5"/>
  <c r="O600" i="5" s="1"/>
  <c r="N599" i="5"/>
  <c r="L599" i="5"/>
  <c r="N598" i="5"/>
  <c r="L598" i="5"/>
  <c r="O598" i="5" s="1"/>
  <c r="N597" i="5"/>
  <c r="L597" i="5"/>
  <c r="J597" i="5"/>
  <c r="I597" i="5"/>
  <c r="J596" i="5"/>
  <c r="I596" i="5"/>
  <c r="K596" i="5" s="1"/>
  <c r="J595" i="5"/>
  <c r="I595" i="5"/>
  <c r="J594" i="5"/>
  <c r="I594" i="5"/>
  <c r="K594" i="5" s="1"/>
  <c r="J593" i="5"/>
  <c r="I593" i="5"/>
  <c r="J592" i="5"/>
  <c r="I592" i="5"/>
  <c r="J591" i="5"/>
  <c r="I591" i="5"/>
  <c r="J590" i="5"/>
  <c r="I590" i="5"/>
  <c r="K590" i="5" s="1"/>
  <c r="J589" i="5"/>
  <c r="I589" i="5"/>
  <c r="N588" i="5"/>
  <c r="N587" i="5"/>
  <c r="N586" i="5"/>
  <c r="N585" i="5"/>
  <c r="N584" i="5"/>
  <c r="L584" i="5"/>
  <c r="N583" i="5"/>
  <c r="L583" i="5"/>
  <c r="O583" i="5" s="1"/>
  <c r="N582" i="5"/>
  <c r="L582" i="5"/>
  <c r="N581" i="5"/>
  <c r="L581" i="5"/>
  <c r="O581" i="5" s="1"/>
  <c r="N580" i="5"/>
  <c r="L580" i="5"/>
  <c r="J580" i="5"/>
  <c r="I580" i="5"/>
  <c r="J579" i="5"/>
  <c r="I579" i="5"/>
  <c r="K579" i="5" s="1"/>
  <c r="J578" i="5"/>
  <c r="I578" i="5"/>
  <c r="K578" i="5" s="1"/>
  <c r="J577" i="5"/>
  <c r="I577" i="5"/>
  <c r="K577" i="5" s="1"/>
  <c r="J576" i="5"/>
  <c r="I576" i="5"/>
  <c r="J575" i="5"/>
  <c r="I575" i="5"/>
  <c r="K575" i="5" s="1"/>
  <c r="J573" i="5"/>
  <c r="I573" i="5"/>
  <c r="N572" i="5"/>
  <c r="N571" i="5"/>
  <c r="N570" i="5"/>
  <c r="N569" i="5"/>
  <c r="N568" i="5"/>
  <c r="L568" i="5"/>
  <c r="N567" i="5"/>
  <c r="L567" i="5"/>
  <c r="N566" i="5"/>
  <c r="L566" i="5"/>
  <c r="N565" i="5"/>
  <c r="L565" i="5"/>
  <c r="N564" i="5"/>
  <c r="L564" i="5"/>
  <c r="J564" i="5"/>
  <c r="I564" i="5"/>
  <c r="J561" i="5"/>
  <c r="I561" i="5"/>
  <c r="K561" i="5" s="1"/>
  <c r="J560" i="5"/>
  <c r="I560" i="5"/>
  <c r="K560" i="5" s="1"/>
  <c r="N559" i="5"/>
  <c r="N558" i="5"/>
  <c r="N557" i="5"/>
  <c r="N556" i="5"/>
  <c r="N555" i="5"/>
  <c r="L555" i="5"/>
  <c r="O555" i="5" s="1"/>
  <c r="N554" i="5"/>
  <c r="L554" i="5"/>
  <c r="O554" i="5" s="1"/>
  <c r="N553" i="5"/>
  <c r="L553" i="5"/>
  <c r="O553" i="5" s="1"/>
  <c r="N552" i="5"/>
  <c r="L552" i="5"/>
  <c r="O552" i="5" s="1"/>
  <c r="N551" i="5"/>
  <c r="L551" i="5"/>
  <c r="O551" i="5" s="1"/>
  <c r="J551" i="5"/>
  <c r="I551" i="5"/>
  <c r="K551" i="5" s="1"/>
  <c r="J550" i="5"/>
  <c r="J549" i="5"/>
  <c r="J548" i="5"/>
  <c r="I548" i="5"/>
  <c r="K548" i="5" s="1"/>
  <c r="J547" i="5"/>
  <c r="I547" i="5"/>
  <c r="J546" i="5"/>
  <c r="J545" i="5"/>
  <c r="J544" i="5"/>
  <c r="J543" i="5"/>
  <c r="N541" i="5"/>
  <c r="N540" i="5"/>
  <c r="N539" i="5"/>
  <c r="N538" i="5"/>
  <c r="N537" i="5"/>
  <c r="L537" i="5"/>
  <c r="N536" i="5"/>
  <c r="L536" i="5"/>
  <c r="O536" i="5" s="1"/>
  <c r="N535" i="5"/>
  <c r="L535" i="5"/>
  <c r="N534" i="5"/>
  <c r="L534" i="5"/>
  <c r="O534" i="5" s="1"/>
  <c r="N533" i="5"/>
  <c r="L533" i="5"/>
  <c r="J533" i="5"/>
  <c r="I533" i="5"/>
  <c r="J532" i="5"/>
  <c r="I532" i="5"/>
  <c r="J531" i="5"/>
  <c r="I531" i="5"/>
  <c r="J530" i="5"/>
  <c r="I530" i="5"/>
  <c r="J529" i="5"/>
  <c r="I529" i="5"/>
  <c r="J528" i="5"/>
  <c r="I528" i="5"/>
  <c r="J527" i="5"/>
  <c r="I527" i="5"/>
  <c r="J526" i="5"/>
  <c r="I526" i="5"/>
  <c r="J525" i="5"/>
  <c r="I525" i="5"/>
  <c r="J524" i="5"/>
  <c r="I524" i="5"/>
  <c r="J523" i="5"/>
  <c r="I523" i="5"/>
  <c r="J522" i="5"/>
  <c r="I522" i="5"/>
  <c r="J521" i="5"/>
  <c r="I521" i="5"/>
  <c r="J520" i="5"/>
  <c r="I520" i="5"/>
  <c r="J519" i="5"/>
  <c r="I519" i="5"/>
  <c r="J518" i="5"/>
  <c r="I518" i="5"/>
  <c r="J517" i="5"/>
  <c r="I517" i="5"/>
  <c r="J516" i="5"/>
  <c r="I516" i="5"/>
  <c r="J515" i="5"/>
  <c r="I515" i="5"/>
  <c r="K515" i="5" s="1"/>
  <c r="J514" i="5"/>
  <c r="I514" i="5"/>
  <c r="K514" i="5" s="1"/>
  <c r="J513" i="5"/>
  <c r="I513" i="5"/>
  <c r="K513" i="5" s="1"/>
  <c r="J512" i="5"/>
  <c r="I512" i="5"/>
  <c r="K512" i="5" s="1"/>
  <c r="J511" i="5"/>
  <c r="I511" i="5"/>
  <c r="K511" i="5" s="1"/>
  <c r="J510" i="5"/>
  <c r="I510" i="5"/>
  <c r="K510" i="5" s="1"/>
  <c r="J509" i="5"/>
  <c r="I509" i="5"/>
  <c r="K509" i="5" s="1"/>
  <c r="J508" i="5"/>
  <c r="I508" i="5"/>
  <c r="K508" i="5" s="1"/>
  <c r="J507" i="5"/>
  <c r="I507" i="5"/>
  <c r="K507" i="5" s="1"/>
  <c r="J506" i="5"/>
  <c r="I506" i="5"/>
  <c r="K506" i="5" s="1"/>
  <c r="J505" i="5"/>
  <c r="I505" i="5"/>
  <c r="K505" i="5" s="1"/>
  <c r="J504" i="5"/>
  <c r="I504" i="5"/>
  <c r="K504" i="5" s="1"/>
  <c r="J503" i="5"/>
  <c r="I503" i="5"/>
  <c r="K503" i="5" s="1"/>
  <c r="J502" i="5"/>
  <c r="I502" i="5"/>
  <c r="K502" i="5" s="1"/>
  <c r="J501" i="5"/>
  <c r="I501" i="5"/>
  <c r="K501" i="5" s="1"/>
  <c r="J500" i="5"/>
  <c r="I500" i="5"/>
  <c r="K500" i="5" s="1"/>
  <c r="J499" i="5"/>
  <c r="I499" i="5"/>
  <c r="K499" i="5" s="1"/>
  <c r="J498" i="5"/>
  <c r="I498" i="5"/>
  <c r="K498" i="5" s="1"/>
  <c r="J497" i="5"/>
  <c r="I497" i="5"/>
  <c r="K497" i="5" s="1"/>
  <c r="J496" i="5"/>
  <c r="I496" i="5"/>
  <c r="K496" i="5" s="1"/>
  <c r="J495" i="5"/>
  <c r="I495" i="5"/>
  <c r="K495" i="5" s="1"/>
  <c r="J494" i="5"/>
  <c r="I494" i="5"/>
  <c r="K494" i="5" s="1"/>
  <c r="J493" i="5"/>
  <c r="I493" i="5"/>
  <c r="K493" i="5" s="1"/>
  <c r="J492" i="5"/>
  <c r="I492" i="5"/>
  <c r="K492" i="5" s="1"/>
  <c r="J491" i="5"/>
  <c r="I491" i="5"/>
  <c r="K491" i="5" s="1"/>
  <c r="J490" i="5"/>
  <c r="I490" i="5"/>
  <c r="K490" i="5" s="1"/>
  <c r="J489" i="5"/>
  <c r="I489" i="5"/>
  <c r="K489" i="5" s="1"/>
  <c r="J488" i="5"/>
  <c r="I488" i="5"/>
  <c r="K488" i="5" s="1"/>
  <c r="J487" i="5"/>
  <c r="I487" i="5"/>
  <c r="K487" i="5" s="1"/>
  <c r="J486" i="5"/>
  <c r="I486" i="5"/>
  <c r="K486" i="5" s="1"/>
  <c r="J485" i="5"/>
  <c r="I485" i="5"/>
  <c r="K485" i="5" s="1"/>
  <c r="J484" i="5"/>
  <c r="I484" i="5"/>
  <c r="K484" i="5" s="1"/>
  <c r="J483" i="5"/>
  <c r="I483" i="5"/>
  <c r="K483" i="5" s="1"/>
  <c r="J482" i="5"/>
  <c r="I482" i="5"/>
  <c r="J481" i="5"/>
  <c r="I481" i="5"/>
  <c r="J480" i="5"/>
  <c r="I480" i="5"/>
  <c r="K480" i="5" s="1"/>
  <c r="J479" i="5"/>
  <c r="I479" i="5"/>
  <c r="K479" i="5" s="1"/>
  <c r="J478" i="5"/>
  <c r="I478" i="5"/>
  <c r="K478" i="5" s="1"/>
  <c r="J477" i="5"/>
  <c r="I477" i="5"/>
  <c r="K477" i="5" s="1"/>
  <c r="J476" i="5"/>
  <c r="I476" i="5"/>
  <c r="K476" i="5" s="1"/>
  <c r="J475" i="5"/>
  <c r="I475" i="5"/>
  <c r="K475" i="5" s="1"/>
  <c r="J474" i="5"/>
  <c r="I474" i="5"/>
  <c r="J473" i="5"/>
  <c r="I473" i="5"/>
  <c r="J472" i="5"/>
  <c r="I472" i="5"/>
  <c r="K472" i="5" s="1"/>
  <c r="J471" i="5"/>
  <c r="I471" i="5"/>
  <c r="K471" i="5" s="1"/>
  <c r="J470" i="5"/>
  <c r="I470" i="5"/>
  <c r="K470" i="5" s="1"/>
  <c r="J469" i="5"/>
  <c r="I469" i="5"/>
  <c r="K469" i="5" s="1"/>
  <c r="J468" i="5"/>
  <c r="I468" i="5"/>
  <c r="K468" i="5" s="1"/>
  <c r="J467" i="5"/>
  <c r="I467" i="5"/>
  <c r="K467" i="5" s="1"/>
  <c r="J466" i="5"/>
  <c r="I466" i="5"/>
  <c r="J465" i="5"/>
  <c r="I465" i="5"/>
  <c r="J464" i="5"/>
  <c r="I464" i="5"/>
  <c r="N463" i="5"/>
  <c r="N462" i="5"/>
  <c r="N461" i="5"/>
  <c r="N460" i="5"/>
  <c r="N459" i="5"/>
  <c r="L459" i="5"/>
  <c r="N458" i="5"/>
  <c r="L458" i="5"/>
  <c r="O458" i="5" s="1"/>
  <c r="N457" i="5"/>
  <c r="L457" i="5"/>
  <c r="N456" i="5"/>
  <c r="L456" i="5"/>
  <c r="O456" i="5" s="1"/>
  <c r="N455" i="5"/>
  <c r="L455" i="5"/>
  <c r="J455" i="5"/>
  <c r="I455" i="5"/>
  <c r="J454" i="5"/>
  <c r="J453" i="5"/>
  <c r="J452" i="5"/>
  <c r="I452" i="5"/>
  <c r="K452" i="5" s="1"/>
  <c r="J451" i="5"/>
  <c r="I451" i="5"/>
  <c r="K451" i="5" s="1"/>
  <c r="J450" i="5"/>
  <c r="I450" i="5"/>
  <c r="J449" i="5"/>
  <c r="I449" i="5"/>
  <c r="J448" i="5"/>
  <c r="J447" i="5"/>
  <c r="J446" i="5"/>
  <c r="J445" i="5"/>
  <c r="N443" i="5"/>
  <c r="N442" i="5"/>
  <c r="N441" i="5"/>
  <c r="N440" i="5"/>
  <c r="N439" i="5"/>
  <c r="L439" i="5"/>
  <c r="N438" i="5"/>
  <c r="L438" i="5"/>
  <c r="O438" i="5" s="1"/>
  <c r="N437" i="5"/>
  <c r="L437" i="5"/>
  <c r="N436" i="5"/>
  <c r="L436" i="5"/>
  <c r="O436" i="5" s="1"/>
  <c r="N435" i="5"/>
  <c r="L435" i="5"/>
  <c r="J435" i="5"/>
  <c r="I435" i="5"/>
  <c r="J434" i="5"/>
  <c r="J433" i="5"/>
  <c r="J432" i="5"/>
  <c r="I432" i="5"/>
  <c r="J431" i="5"/>
  <c r="I431" i="5"/>
  <c r="K431" i="5" s="1"/>
  <c r="J430" i="5"/>
  <c r="I430" i="5"/>
  <c r="J429" i="5"/>
  <c r="I429" i="5"/>
  <c r="J428" i="5"/>
  <c r="I428" i="5"/>
  <c r="J427" i="5"/>
  <c r="I427" i="5"/>
  <c r="J426" i="5"/>
  <c r="I426" i="5"/>
  <c r="J425" i="5"/>
  <c r="I425" i="5"/>
  <c r="J424" i="5"/>
  <c r="I424" i="5"/>
  <c r="J423" i="5"/>
  <c r="I423" i="5"/>
  <c r="J422" i="5"/>
  <c r="I422" i="5"/>
  <c r="J421" i="5"/>
  <c r="I421" i="5"/>
  <c r="J420" i="5"/>
  <c r="I420" i="5"/>
  <c r="K420" i="5" s="1"/>
  <c r="J419" i="5"/>
  <c r="I419" i="5"/>
  <c r="K419" i="5" s="1"/>
  <c r="J418" i="5"/>
  <c r="I418" i="5"/>
  <c r="K418" i="5" s="1"/>
  <c r="J417" i="5"/>
  <c r="I417" i="5"/>
  <c r="K417" i="5" s="1"/>
  <c r="J416" i="5"/>
  <c r="I416" i="5"/>
  <c r="J415" i="5"/>
  <c r="J414" i="5"/>
  <c r="J413" i="5"/>
  <c r="J412" i="5"/>
  <c r="N410" i="5"/>
  <c r="N409" i="5"/>
  <c r="N408" i="5"/>
  <c r="N407" i="5"/>
  <c r="N406" i="5"/>
  <c r="L406" i="5"/>
  <c r="N405" i="5"/>
  <c r="L405" i="5"/>
  <c r="O405" i="5" s="1"/>
  <c r="N404" i="5"/>
  <c r="L404" i="5"/>
  <c r="N403" i="5"/>
  <c r="L403" i="5"/>
  <c r="O403" i="5" s="1"/>
  <c r="J402" i="5"/>
  <c r="I402" i="5"/>
  <c r="N401" i="5"/>
  <c r="L401" i="5"/>
  <c r="J401" i="5"/>
  <c r="I401" i="5"/>
  <c r="J400" i="5"/>
  <c r="J399" i="5"/>
  <c r="J398" i="5"/>
  <c r="I398" i="5"/>
  <c r="J397" i="5"/>
  <c r="I397" i="5"/>
  <c r="J396" i="5"/>
  <c r="I396" i="5"/>
  <c r="J394" i="5"/>
  <c r="J393" i="5"/>
  <c r="J392" i="5"/>
  <c r="J391" i="5"/>
  <c r="N389" i="5"/>
  <c r="N388" i="5"/>
  <c r="N387" i="5"/>
  <c r="N386" i="5"/>
  <c r="N385" i="5"/>
  <c r="L385" i="5"/>
  <c r="N384" i="5"/>
  <c r="L384" i="5"/>
  <c r="O384" i="5" s="1"/>
  <c r="N383" i="5"/>
  <c r="L383" i="5"/>
  <c r="N382" i="5"/>
  <c r="L382" i="5"/>
  <c r="O382" i="5" s="1"/>
  <c r="J381" i="5"/>
  <c r="I381" i="5"/>
  <c r="N380" i="5"/>
  <c r="L380" i="5"/>
  <c r="J380" i="5"/>
  <c r="I380" i="5"/>
  <c r="J379" i="5"/>
  <c r="J378" i="5"/>
  <c r="J377" i="5"/>
  <c r="I377" i="5"/>
  <c r="K377" i="5" s="1"/>
  <c r="J376" i="5"/>
  <c r="I376" i="5"/>
  <c r="K376" i="5" s="1"/>
  <c r="J375" i="5"/>
  <c r="I375" i="5"/>
  <c r="K375" i="5" s="1"/>
  <c r="J374" i="5"/>
  <c r="I374" i="5"/>
  <c r="J373" i="5"/>
  <c r="I373" i="5"/>
  <c r="K373" i="5" s="1"/>
  <c r="J372" i="5"/>
  <c r="I372" i="5"/>
  <c r="K372" i="5" s="1"/>
  <c r="J371" i="5"/>
  <c r="I371" i="5"/>
  <c r="K371" i="5" s="1"/>
  <c r="J370" i="5"/>
  <c r="I370" i="5"/>
  <c r="K370" i="5" s="1"/>
  <c r="J369" i="5"/>
  <c r="I369" i="5"/>
  <c r="K369" i="5" s="1"/>
  <c r="J368" i="5"/>
  <c r="I368" i="5"/>
  <c r="K368" i="5" s="1"/>
  <c r="J367" i="5"/>
  <c r="J366" i="5"/>
  <c r="J365" i="5"/>
  <c r="I365" i="5"/>
  <c r="K365" i="5" s="1"/>
  <c r="J364" i="5"/>
  <c r="J363" i="5"/>
  <c r="J362" i="5"/>
  <c r="J361" i="5"/>
  <c r="J360" i="5"/>
  <c r="N358" i="5"/>
  <c r="N357" i="5"/>
  <c r="N356" i="5"/>
  <c r="N355" i="5"/>
  <c r="N354" i="5"/>
  <c r="L354" i="5"/>
  <c r="N353" i="5"/>
  <c r="L353" i="5"/>
  <c r="O353" i="5" s="1"/>
  <c r="N352" i="5"/>
  <c r="L352" i="5"/>
  <c r="N351" i="5"/>
  <c r="L351" i="5"/>
  <c r="O351" i="5" s="1"/>
  <c r="J350" i="5"/>
  <c r="I350" i="5"/>
  <c r="K350" i="5" s="1"/>
  <c r="N349" i="5"/>
  <c r="L349" i="5"/>
  <c r="O349" i="5" s="1"/>
  <c r="J349" i="5"/>
  <c r="I349" i="5"/>
  <c r="K349" i="5" s="1"/>
  <c r="N347" i="5"/>
  <c r="L347" i="5"/>
  <c r="J346" i="5"/>
  <c r="I346" i="5"/>
  <c r="K346" i="5" s="1"/>
  <c r="J345" i="5"/>
  <c r="I345" i="5"/>
  <c r="J344" i="5"/>
  <c r="I344" i="5"/>
  <c r="K344" i="5" s="1"/>
  <c r="J343" i="5"/>
  <c r="I343" i="5"/>
  <c r="J342" i="5"/>
  <c r="I342" i="5"/>
  <c r="K342" i="5" s="1"/>
  <c r="J341" i="5"/>
  <c r="I341" i="5"/>
  <c r="J340" i="5"/>
  <c r="I340" i="5"/>
  <c r="J339" i="5"/>
  <c r="I339" i="5"/>
  <c r="K339" i="5" s="1"/>
  <c r="N337" i="5"/>
  <c r="L337" i="5"/>
  <c r="L335" i="5"/>
  <c r="L334" i="5"/>
  <c r="N333" i="5"/>
  <c r="M333" i="5"/>
  <c r="O332" i="5"/>
  <c r="N330" i="5"/>
  <c r="M330" i="5"/>
  <c r="P330" i="5" s="1"/>
  <c r="L330" i="5"/>
  <c r="J328" i="5"/>
  <c r="I328" i="5"/>
  <c r="J326" i="5"/>
  <c r="J325" i="5"/>
  <c r="J324" i="5"/>
  <c r="I324" i="5"/>
  <c r="K324" i="5" s="1"/>
  <c r="J323" i="5"/>
  <c r="J322" i="5"/>
  <c r="J321" i="5"/>
  <c r="J320" i="5"/>
  <c r="N318" i="5"/>
  <c r="L318" i="5"/>
  <c r="O318" i="5" s="1"/>
  <c r="L316" i="5"/>
  <c r="L315" i="5"/>
  <c r="N314" i="5"/>
  <c r="M314" i="5"/>
  <c r="P314" i="5" s="1"/>
  <c r="O313" i="5"/>
  <c r="P311" i="5"/>
  <c r="O311" i="5"/>
  <c r="N311" i="5"/>
  <c r="M311" i="5"/>
  <c r="L311" i="5"/>
  <c r="J309" i="5"/>
  <c r="I309" i="5"/>
  <c r="K309" i="5" s="1"/>
  <c r="J308" i="5"/>
  <c r="J307" i="5"/>
  <c r="J306" i="5"/>
  <c r="I306" i="5"/>
  <c r="K306" i="5" s="1"/>
  <c r="J304" i="5"/>
  <c r="I304" i="5"/>
  <c r="K304" i="5" s="1"/>
  <c r="J303" i="5"/>
  <c r="J302" i="5"/>
  <c r="J301" i="5"/>
  <c r="J300" i="5"/>
  <c r="N298" i="5"/>
  <c r="L298" i="5"/>
  <c r="O298" i="5" s="1"/>
  <c r="L296" i="5"/>
  <c r="L295" i="5"/>
  <c r="N294" i="5"/>
  <c r="M294" i="5"/>
  <c r="O293" i="5"/>
  <c r="O291" i="5"/>
  <c r="N291" i="5"/>
  <c r="M291" i="5"/>
  <c r="L291" i="5"/>
  <c r="J289" i="5"/>
  <c r="I289" i="5"/>
  <c r="K289" i="5" s="1"/>
  <c r="J287" i="5"/>
  <c r="J286" i="5"/>
  <c r="J285" i="5"/>
  <c r="I285" i="5"/>
  <c r="K285" i="5" s="1"/>
  <c r="J284" i="5"/>
  <c r="J283" i="5"/>
  <c r="J282" i="5"/>
  <c r="J281" i="5"/>
  <c r="N279" i="5"/>
  <c r="L279" i="5"/>
  <c r="O279" i="5" s="1"/>
  <c r="L277" i="5"/>
  <c r="L276" i="5"/>
  <c r="N275" i="5"/>
  <c r="M275" i="5"/>
  <c r="O274" i="5"/>
  <c r="P272" i="5"/>
  <c r="O272" i="5"/>
  <c r="N272" i="5"/>
  <c r="M272" i="5"/>
  <c r="L272" i="5"/>
  <c r="J270" i="5"/>
  <c r="I270" i="5"/>
  <c r="K270" i="5" s="1"/>
  <c r="J269" i="5"/>
  <c r="J268" i="5"/>
  <c r="J267" i="5"/>
  <c r="I267" i="5"/>
  <c r="K267" i="5" s="1"/>
  <c r="J266" i="5"/>
  <c r="I266" i="5"/>
  <c r="J265" i="5"/>
  <c r="I265" i="5"/>
  <c r="K265" i="5" s="1"/>
  <c r="J264" i="5"/>
  <c r="I264" i="5"/>
  <c r="K264" i="5" s="1"/>
  <c r="J263" i="5"/>
  <c r="J262" i="5"/>
  <c r="J261" i="5"/>
  <c r="J260" i="5"/>
  <c r="N258" i="5"/>
  <c r="L258" i="5"/>
  <c r="O258" i="5" s="1"/>
  <c r="L256" i="5"/>
  <c r="L255" i="5"/>
  <c r="N254" i="5"/>
  <c r="M254" i="5"/>
  <c r="O253" i="5"/>
  <c r="P251" i="5"/>
  <c r="O251" i="5"/>
  <c r="N251" i="5"/>
  <c r="M251" i="5"/>
  <c r="L251" i="5"/>
  <c r="J249" i="5"/>
  <c r="I249" i="5"/>
  <c r="K249" i="5" s="1"/>
  <c r="J246" i="5"/>
  <c r="J245" i="5"/>
  <c r="J244" i="5"/>
  <c r="I244" i="5"/>
  <c r="K244" i="5" s="1"/>
  <c r="J243" i="5"/>
  <c r="J242" i="5"/>
  <c r="J241" i="5"/>
  <c r="J240" i="5"/>
  <c r="J238" i="5"/>
  <c r="I238" i="5"/>
  <c r="K238" i="5" s="1"/>
  <c r="J237" i="5"/>
  <c r="J236" i="5"/>
  <c r="J235" i="5"/>
  <c r="I235" i="5"/>
  <c r="J234" i="5"/>
  <c r="J233" i="5"/>
  <c r="J232" i="5"/>
  <c r="J231" i="5"/>
  <c r="J229" i="5"/>
  <c r="I229" i="5"/>
  <c r="N228" i="5"/>
  <c r="L228" i="5"/>
  <c r="O228" i="5" s="1"/>
  <c r="L226" i="5"/>
  <c r="L225" i="5"/>
  <c r="N224" i="5"/>
  <c r="M224" i="5"/>
  <c r="M222" i="5" s="1"/>
  <c r="O223" i="5"/>
  <c r="O221" i="5"/>
  <c r="N221" i="5"/>
  <c r="M221" i="5"/>
  <c r="L221" i="5"/>
  <c r="J219" i="5"/>
  <c r="I219" i="5"/>
  <c r="J218" i="5"/>
  <c r="J217" i="5"/>
  <c r="J216" i="5"/>
  <c r="I216" i="5"/>
  <c r="J215" i="5"/>
  <c r="I215" i="5"/>
  <c r="K215" i="5" s="1"/>
  <c r="J213" i="5"/>
  <c r="I213" i="5"/>
  <c r="J212" i="5"/>
  <c r="J211" i="5"/>
  <c r="J210" i="5"/>
  <c r="J209" i="5"/>
  <c r="J204" i="5"/>
  <c r="I204" i="5"/>
  <c r="J203" i="5"/>
  <c r="J202" i="5"/>
  <c r="J201" i="5"/>
  <c r="I201" i="5"/>
  <c r="K201" i="5" s="1"/>
  <c r="J200" i="5"/>
  <c r="I200" i="5"/>
  <c r="J199" i="5"/>
  <c r="I199" i="5"/>
  <c r="J197" i="5"/>
  <c r="J196" i="5"/>
  <c r="J195" i="5"/>
  <c r="J194" i="5"/>
  <c r="J189" i="5"/>
  <c r="I189" i="5"/>
  <c r="J188" i="5"/>
  <c r="J187" i="5"/>
  <c r="J186" i="5"/>
  <c r="I186" i="5"/>
  <c r="J185" i="5"/>
  <c r="I185" i="5"/>
  <c r="J184" i="5"/>
  <c r="J183" i="5"/>
  <c r="J182" i="5"/>
  <c r="J181" i="5"/>
  <c r="J176" i="5"/>
  <c r="I176" i="5"/>
  <c r="J175" i="5"/>
  <c r="J174" i="5"/>
  <c r="J173" i="5"/>
  <c r="I173" i="5"/>
  <c r="J172" i="5"/>
  <c r="J171" i="5"/>
  <c r="J170" i="5"/>
  <c r="J169" i="5"/>
  <c r="J164" i="5"/>
  <c r="I164" i="5"/>
  <c r="J163" i="5"/>
  <c r="J162" i="5"/>
  <c r="J161" i="5"/>
  <c r="J160" i="5"/>
  <c r="J159" i="5"/>
  <c r="J158" i="5"/>
  <c r="I158" i="5"/>
  <c r="J157" i="5"/>
  <c r="J156" i="5"/>
  <c r="J155" i="5"/>
  <c r="J154" i="5"/>
  <c r="J149" i="5"/>
  <c r="I149" i="5"/>
  <c r="N148" i="5"/>
  <c r="L148" i="5"/>
  <c r="L146" i="5"/>
  <c r="L145" i="5"/>
  <c r="N144" i="5"/>
  <c r="M144" i="5"/>
  <c r="O143" i="5"/>
  <c r="N141" i="5"/>
  <c r="M141" i="5"/>
  <c r="P141" i="5" s="1"/>
  <c r="L141" i="5"/>
  <c r="J138" i="5"/>
  <c r="I138" i="5"/>
  <c r="J135" i="5"/>
  <c r="J134" i="5"/>
  <c r="J133" i="5"/>
  <c r="I133" i="5"/>
  <c r="K133" i="5" s="1"/>
  <c r="J132" i="5"/>
  <c r="I132" i="5"/>
  <c r="K132" i="5" s="1"/>
  <c r="J131" i="5"/>
  <c r="J130" i="5"/>
  <c r="J129" i="5"/>
  <c r="J128" i="5"/>
  <c r="N126" i="5"/>
  <c r="L126" i="5"/>
  <c r="O126" i="5" s="1"/>
  <c r="L124" i="5"/>
  <c r="L123" i="5"/>
  <c r="N122" i="5"/>
  <c r="M122" i="5"/>
  <c r="P122" i="5" s="1"/>
  <c r="O121" i="5"/>
  <c r="N119" i="5"/>
  <c r="M119" i="5"/>
  <c r="L119" i="5"/>
  <c r="O119" i="5" s="1"/>
  <c r="J117" i="5"/>
  <c r="I117" i="5"/>
  <c r="J115" i="5"/>
  <c r="J114" i="5"/>
  <c r="J113" i="5"/>
  <c r="I113" i="5"/>
  <c r="J112" i="5"/>
  <c r="I112" i="5"/>
  <c r="J111" i="5"/>
  <c r="I111" i="5"/>
  <c r="J110" i="5"/>
  <c r="I110" i="5"/>
  <c r="J109" i="5"/>
  <c r="I109" i="5"/>
  <c r="J108" i="5"/>
  <c r="I108" i="5"/>
  <c r="J107" i="5"/>
  <c r="J106" i="5"/>
  <c r="J105" i="5"/>
  <c r="J104" i="5"/>
  <c r="N102" i="5"/>
  <c r="L102" i="5"/>
  <c r="L100" i="5"/>
  <c r="L99" i="5"/>
  <c r="N98" i="5"/>
  <c r="M98" i="5"/>
  <c r="O97" i="5"/>
  <c r="N95" i="5"/>
  <c r="M95" i="5"/>
  <c r="P95" i="5" s="1"/>
  <c r="L95" i="5"/>
  <c r="J93" i="5"/>
  <c r="I93" i="5"/>
  <c r="J92" i="5"/>
  <c r="I92" i="5"/>
  <c r="J90" i="5"/>
  <c r="J89" i="5"/>
  <c r="J88" i="5"/>
  <c r="I88" i="5"/>
  <c r="K88" i="5" s="1"/>
  <c r="J87" i="5"/>
  <c r="I87" i="5"/>
  <c r="K87" i="5" s="1"/>
  <c r="J86" i="5"/>
  <c r="I86" i="5"/>
  <c r="K86" i="5" s="1"/>
  <c r="J85" i="5"/>
  <c r="I85" i="5"/>
  <c r="K85" i="5" s="1"/>
  <c r="J84" i="5"/>
  <c r="I84" i="5"/>
  <c r="K84" i="5" s="1"/>
  <c r="J83" i="5"/>
  <c r="I83" i="5"/>
  <c r="K83" i="5" s="1"/>
  <c r="J82" i="5"/>
  <c r="I82" i="5"/>
  <c r="K82" i="5" s="1"/>
  <c r="J81" i="5"/>
  <c r="I81" i="5"/>
  <c r="K81" i="5" s="1"/>
  <c r="J80" i="5"/>
  <c r="I80" i="5"/>
  <c r="K80" i="5" s="1"/>
  <c r="J79" i="5"/>
  <c r="J78" i="5"/>
  <c r="J77" i="5"/>
  <c r="J76" i="5"/>
  <c r="N74" i="5"/>
  <c r="L74" i="5"/>
  <c r="O74" i="5" s="1"/>
  <c r="L72" i="5"/>
  <c r="L71" i="5"/>
  <c r="N70" i="5"/>
  <c r="M70" i="5"/>
  <c r="O69" i="5"/>
  <c r="N67" i="5"/>
  <c r="M67" i="5"/>
  <c r="L67" i="5"/>
  <c r="O67" i="5" s="1"/>
  <c r="J65" i="5"/>
  <c r="I65" i="5"/>
  <c r="K65" i="5" s="1"/>
  <c r="J64" i="5"/>
  <c r="I64" i="5"/>
  <c r="K64" i="5" s="1"/>
  <c r="N61" i="5"/>
  <c r="L61" i="5"/>
  <c r="O61" i="5" s="1"/>
  <c r="L59" i="5"/>
  <c r="L58" i="5"/>
  <c r="N57" i="5"/>
  <c r="M57" i="5"/>
  <c r="M55" i="5" s="1"/>
  <c r="M53" i="5" s="1"/>
  <c r="N54" i="5"/>
  <c r="M54" i="5"/>
  <c r="P54" i="5" s="1"/>
  <c r="L54" i="5"/>
  <c r="N49" i="5"/>
  <c r="L49" i="5"/>
  <c r="O49" i="5" s="1"/>
  <c r="L47" i="5"/>
  <c r="L46" i="5"/>
  <c r="N45" i="5"/>
  <c r="M45" i="5"/>
  <c r="M43" i="5" s="1"/>
  <c r="O42" i="5"/>
  <c r="N42" i="5"/>
  <c r="M42" i="5"/>
  <c r="L42" i="5"/>
  <c r="P36" i="5"/>
  <c r="O36" i="5"/>
  <c r="P35" i="5"/>
  <c r="O35" i="5"/>
  <c r="P34" i="5"/>
  <c r="M34" i="5"/>
  <c r="M33" i="5"/>
  <c r="P33" i="5" s="1"/>
  <c r="M32" i="5"/>
  <c r="P32" i="5" s="1"/>
  <c r="M31" i="5"/>
  <c r="P30" i="5"/>
  <c r="M30" i="5"/>
  <c r="N25" i="5"/>
  <c r="M25" i="5"/>
  <c r="P25" i="5" s="1"/>
  <c r="L25" i="5"/>
  <c r="O25" i="5" s="1"/>
  <c r="N24" i="5"/>
  <c r="M24" i="5"/>
  <c r="P24" i="5" s="1"/>
  <c r="P23" i="5"/>
  <c r="N23" i="5"/>
  <c r="M23" i="5"/>
  <c r="P21" i="5"/>
  <c r="N21" i="5"/>
  <c r="M21" i="5"/>
  <c r="L21" i="5"/>
  <c r="O21" i="5" s="1"/>
  <c r="N19" i="5"/>
  <c r="M19" i="5"/>
  <c r="P19" i="5" s="1"/>
  <c r="P15" i="5"/>
  <c r="N15" i="5"/>
  <c r="M15" i="5"/>
  <c r="L15" i="5"/>
  <c r="O15" i="5" s="1"/>
  <c r="P13" i="5"/>
  <c r="M13" i="5"/>
  <c r="M11" i="5"/>
  <c r="P11" i="5" s="1"/>
  <c r="M9" i="5"/>
  <c r="J677" i="4"/>
  <c r="J676" i="4"/>
  <c r="J675" i="4"/>
  <c r="J674" i="4"/>
  <c r="J673" i="4"/>
  <c r="J672" i="4"/>
  <c r="N671" i="4"/>
  <c r="L671" i="4"/>
  <c r="O671" i="4" s="1"/>
  <c r="I671" i="4"/>
  <c r="K671" i="4" s="1"/>
  <c r="J670" i="4"/>
  <c r="J669" i="4"/>
  <c r="N668" i="4"/>
  <c r="L668" i="4"/>
  <c r="O668" i="4" s="1"/>
  <c r="J668" i="4"/>
  <c r="I668" i="4"/>
  <c r="K668" i="4" s="1"/>
  <c r="J667" i="4"/>
  <c r="J666" i="4"/>
  <c r="N665" i="4"/>
  <c r="L665" i="4"/>
  <c r="O665" i="4" s="1"/>
  <c r="J665" i="4"/>
  <c r="I665" i="4"/>
  <c r="K665" i="4" s="1"/>
  <c r="J663" i="4"/>
  <c r="I663" i="4"/>
  <c r="K663" i="4" s="1"/>
  <c r="J662" i="4"/>
  <c r="N661" i="4"/>
  <c r="L661" i="4"/>
  <c r="O661" i="4" s="1"/>
  <c r="J661" i="4"/>
  <c r="J660" i="4"/>
  <c r="J659" i="4"/>
  <c r="J658" i="4"/>
  <c r="J657" i="4"/>
  <c r="J656" i="4"/>
  <c r="J655" i="4"/>
  <c r="J653" i="4"/>
  <c r="J652" i="4"/>
  <c r="N651" i="4"/>
  <c r="L651" i="4"/>
  <c r="O651" i="4" s="1"/>
  <c r="I651" i="4"/>
  <c r="K651" i="4" s="1"/>
  <c r="N650" i="4"/>
  <c r="L650" i="4"/>
  <c r="O650" i="4" s="1"/>
  <c r="J650" i="4"/>
  <c r="I650" i="4"/>
  <c r="N649" i="4"/>
  <c r="L649" i="4"/>
  <c r="O649" i="4" s="1"/>
  <c r="J649" i="4"/>
  <c r="I649" i="4"/>
  <c r="K649" i="4" s="1"/>
  <c r="N648" i="4"/>
  <c r="L648" i="4"/>
  <c r="O648" i="4" s="1"/>
  <c r="J648" i="4"/>
  <c r="I648" i="4"/>
  <c r="K648" i="4" s="1"/>
  <c r="J647" i="4"/>
  <c r="J646" i="4"/>
  <c r="O639" i="4"/>
  <c r="O637" i="4"/>
  <c r="J635" i="4"/>
  <c r="I635" i="4"/>
  <c r="J634" i="4"/>
  <c r="I634" i="4"/>
  <c r="J633" i="4"/>
  <c r="I633" i="4"/>
  <c r="K633" i="4" s="1"/>
  <c r="J632" i="4"/>
  <c r="I632" i="4"/>
  <c r="K632" i="4" s="1"/>
  <c r="J631" i="4"/>
  <c r="I631" i="4"/>
  <c r="J630" i="4"/>
  <c r="I630" i="4"/>
  <c r="J629" i="4"/>
  <c r="I629" i="4"/>
  <c r="J628" i="4"/>
  <c r="I628" i="4"/>
  <c r="J626" i="4"/>
  <c r="I626" i="4"/>
  <c r="J625" i="4"/>
  <c r="I625" i="4"/>
  <c r="J624" i="4"/>
  <c r="I624" i="4"/>
  <c r="J623" i="4"/>
  <c r="I623" i="4"/>
  <c r="J622" i="4"/>
  <c r="I622" i="4"/>
  <c r="J621" i="4"/>
  <c r="I621" i="4"/>
  <c r="J620" i="4"/>
  <c r="I620" i="4"/>
  <c r="K626" i="4" s="1"/>
  <c r="J619" i="4"/>
  <c r="I619" i="4"/>
  <c r="J618" i="4"/>
  <c r="I618" i="4"/>
  <c r="J617" i="4"/>
  <c r="I617" i="4"/>
  <c r="J616" i="4"/>
  <c r="I616" i="4"/>
  <c r="J615" i="4"/>
  <c r="I615" i="4"/>
  <c r="J614" i="4"/>
  <c r="I614" i="4"/>
  <c r="J613" i="4"/>
  <c r="I613" i="4"/>
  <c r="J612" i="4"/>
  <c r="I612" i="4"/>
  <c r="J611" i="4"/>
  <c r="I611" i="4"/>
  <c r="J610" i="4"/>
  <c r="J609" i="4"/>
  <c r="J608" i="4"/>
  <c r="J607" i="4"/>
  <c r="N605" i="4"/>
  <c r="N604" i="4"/>
  <c r="N603" i="4"/>
  <c r="N602" i="4"/>
  <c r="N601" i="4"/>
  <c r="L601" i="4"/>
  <c r="N600" i="4"/>
  <c r="L600" i="4"/>
  <c r="O600" i="4" s="1"/>
  <c r="N599" i="4"/>
  <c r="L599" i="4"/>
  <c r="N598" i="4"/>
  <c r="L598" i="4"/>
  <c r="O598" i="4" s="1"/>
  <c r="N597" i="4"/>
  <c r="L597" i="4"/>
  <c r="J597" i="4"/>
  <c r="I597" i="4"/>
  <c r="J596" i="4"/>
  <c r="I596" i="4"/>
  <c r="K596" i="4" s="1"/>
  <c r="J595" i="4"/>
  <c r="I595" i="4"/>
  <c r="K595" i="4" s="1"/>
  <c r="J594" i="4"/>
  <c r="I594" i="4"/>
  <c r="K594" i="4" s="1"/>
  <c r="J593" i="4"/>
  <c r="I593" i="4"/>
  <c r="K593" i="4" s="1"/>
  <c r="J592" i="4"/>
  <c r="I592" i="4"/>
  <c r="K592" i="4" s="1"/>
  <c r="J591" i="4"/>
  <c r="I591" i="4"/>
  <c r="K591" i="4" s="1"/>
  <c r="J590" i="4"/>
  <c r="I590" i="4"/>
  <c r="K590" i="4" s="1"/>
  <c r="J589" i="4"/>
  <c r="I589" i="4"/>
  <c r="K589" i="4" s="1"/>
  <c r="N588" i="4"/>
  <c r="N587" i="4"/>
  <c r="N586" i="4"/>
  <c r="N585" i="4"/>
  <c r="N584" i="4"/>
  <c r="L584" i="4"/>
  <c r="O584" i="4" s="1"/>
  <c r="N583" i="4"/>
  <c r="L583" i="4"/>
  <c r="O583" i="4" s="1"/>
  <c r="N582" i="4"/>
  <c r="L582" i="4"/>
  <c r="O582" i="4" s="1"/>
  <c r="N581" i="4"/>
  <c r="L581" i="4"/>
  <c r="O581" i="4" s="1"/>
  <c r="N580" i="4"/>
  <c r="L580" i="4"/>
  <c r="O580" i="4" s="1"/>
  <c r="J580" i="4"/>
  <c r="I580" i="4"/>
  <c r="K580" i="4" s="1"/>
  <c r="J579" i="4"/>
  <c r="I579" i="4"/>
  <c r="K579" i="4" s="1"/>
  <c r="J578" i="4"/>
  <c r="I578" i="4"/>
  <c r="K578" i="4" s="1"/>
  <c r="J577" i="4"/>
  <c r="I577" i="4"/>
  <c r="K577" i="4" s="1"/>
  <c r="J576" i="4"/>
  <c r="I576" i="4"/>
  <c r="K576" i="4" s="1"/>
  <c r="J575" i="4"/>
  <c r="I575" i="4"/>
  <c r="K575" i="4" s="1"/>
  <c r="J573" i="4"/>
  <c r="I573" i="4"/>
  <c r="N572" i="4"/>
  <c r="N571" i="4"/>
  <c r="N570" i="4"/>
  <c r="N569" i="4"/>
  <c r="N568" i="4"/>
  <c r="L568" i="4"/>
  <c r="N567" i="4"/>
  <c r="L567" i="4"/>
  <c r="O567" i="4" s="1"/>
  <c r="N566" i="4"/>
  <c r="L566" i="4"/>
  <c r="N565" i="4"/>
  <c r="L565" i="4"/>
  <c r="O565" i="4" s="1"/>
  <c r="N564" i="4"/>
  <c r="L564" i="4"/>
  <c r="J564" i="4"/>
  <c r="I564" i="4"/>
  <c r="J561" i="4"/>
  <c r="I561" i="4"/>
  <c r="K561" i="4" s="1"/>
  <c r="J560" i="4"/>
  <c r="I560" i="4"/>
  <c r="K560" i="4" s="1"/>
  <c r="N559" i="4"/>
  <c r="N558" i="4"/>
  <c r="N557" i="4"/>
  <c r="N556" i="4"/>
  <c r="N555" i="4"/>
  <c r="L555" i="4"/>
  <c r="O555" i="4" s="1"/>
  <c r="N554" i="4"/>
  <c r="L554" i="4"/>
  <c r="O554" i="4" s="1"/>
  <c r="N553" i="4"/>
  <c r="L553" i="4"/>
  <c r="O553" i="4" s="1"/>
  <c r="N552" i="4"/>
  <c r="L552" i="4"/>
  <c r="O552" i="4" s="1"/>
  <c r="N551" i="4"/>
  <c r="L551" i="4"/>
  <c r="O551" i="4" s="1"/>
  <c r="J551" i="4"/>
  <c r="I551" i="4"/>
  <c r="K551" i="4" s="1"/>
  <c r="J550" i="4"/>
  <c r="J549" i="4"/>
  <c r="J548" i="4"/>
  <c r="I548" i="4"/>
  <c r="K548" i="4" s="1"/>
  <c r="J547" i="4"/>
  <c r="I547" i="4"/>
  <c r="J546" i="4"/>
  <c r="J545" i="4"/>
  <c r="J544" i="4"/>
  <c r="J543" i="4"/>
  <c r="N541" i="4"/>
  <c r="N540" i="4"/>
  <c r="N539" i="4"/>
  <c r="N538" i="4"/>
  <c r="N537" i="4"/>
  <c r="L537" i="4"/>
  <c r="N536" i="4"/>
  <c r="L536" i="4"/>
  <c r="O536" i="4" s="1"/>
  <c r="N535" i="4"/>
  <c r="L535" i="4"/>
  <c r="N534" i="4"/>
  <c r="L534" i="4"/>
  <c r="O534" i="4" s="1"/>
  <c r="N533" i="4"/>
  <c r="L533" i="4"/>
  <c r="J533" i="4"/>
  <c r="I533" i="4"/>
  <c r="J532" i="4"/>
  <c r="I532" i="4"/>
  <c r="J531" i="4"/>
  <c r="I531" i="4"/>
  <c r="J530" i="4"/>
  <c r="I530" i="4"/>
  <c r="J529" i="4"/>
  <c r="I529" i="4"/>
  <c r="J528" i="4"/>
  <c r="I528" i="4"/>
  <c r="J527" i="4"/>
  <c r="I527" i="4"/>
  <c r="J526" i="4"/>
  <c r="I526" i="4"/>
  <c r="J525" i="4"/>
  <c r="I525" i="4"/>
  <c r="J524" i="4"/>
  <c r="I524" i="4"/>
  <c r="J523" i="4"/>
  <c r="I523" i="4"/>
  <c r="J522" i="4"/>
  <c r="I522" i="4"/>
  <c r="J521" i="4"/>
  <c r="I521" i="4"/>
  <c r="J520" i="4"/>
  <c r="I520" i="4"/>
  <c r="J519" i="4"/>
  <c r="I519" i="4"/>
  <c r="J518" i="4"/>
  <c r="I518" i="4"/>
  <c r="J517" i="4"/>
  <c r="I517" i="4"/>
  <c r="J516" i="4"/>
  <c r="I516" i="4"/>
  <c r="J515" i="4"/>
  <c r="I515" i="4"/>
  <c r="K515" i="4" s="1"/>
  <c r="J514" i="4"/>
  <c r="I514" i="4"/>
  <c r="K514" i="4" s="1"/>
  <c r="J513" i="4"/>
  <c r="I513" i="4"/>
  <c r="K513" i="4" s="1"/>
  <c r="J512" i="4"/>
  <c r="I512" i="4"/>
  <c r="K512" i="4" s="1"/>
  <c r="J511" i="4"/>
  <c r="I511" i="4"/>
  <c r="K511" i="4" s="1"/>
  <c r="J510" i="4"/>
  <c r="I510" i="4"/>
  <c r="K510" i="4" s="1"/>
  <c r="J509" i="4"/>
  <c r="I509" i="4"/>
  <c r="K509" i="4" s="1"/>
  <c r="J508" i="4"/>
  <c r="I508" i="4"/>
  <c r="K508" i="4" s="1"/>
  <c r="J507" i="4"/>
  <c r="I507" i="4"/>
  <c r="K507" i="4" s="1"/>
  <c r="J506" i="4"/>
  <c r="I506" i="4"/>
  <c r="K506" i="4" s="1"/>
  <c r="J505" i="4"/>
  <c r="I505" i="4"/>
  <c r="K505" i="4" s="1"/>
  <c r="J504" i="4"/>
  <c r="I504" i="4"/>
  <c r="K504" i="4" s="1"/>
  <c r="J503" i="4"/>
  <c r="I503" i="4"/>
  <c r="K503" i="4" s="1"/>
  <c r="J502" i="4"/>
  <c r="I502" i="4"/>
  <c r="K502" i="4" s="1"/>
  <c r="J501" i="4"/>
  <c r="I501" i="4"/>
  <c r="K501" i="4" s="1"/>
  <c r="J500" i="4"/>
  <c r="I500" i="4"/>
  <c r="K500" i="4" s="1"/>
  <c r="J499" i="4"/>
  <c r="I499" i="4"/>
  <c r="J498" i="4"/>
  <c r="I498" i="4"/>
  <c r="J497" i="4"/>
  <c r="I497" i="4"/>
  <c r="J496" i="4"/>
  <c r="I496" i="4"/>
  <c r="K496" i="4" s="1"/>
  <c r="J495" i="4"/>
  <c r="I495" i="4"/>
  <c r="K495" i="4" s="1"/>
  <c r="J494" i="4"/>
  <c r="I494" i="4"/>
  <c r="K494" i="4" s="1"/>
  <c r="J493" i="4"/>
  <c r="I493" i="4"/>
  <c r="K493" i="4" s="1"/>
  <c r="J492" i="4"/>
  <c r="I492" i="4"/>
  <c r="K492" i="4" s="1"/>
  <c r="J491" i="4"/>
  <c r="I491" i="4"/>
  <c r="K491" i="4" s="1"/>
  <c r="J490" i="4"/>
  <c r="I490" i="4"/>
  <c r="K490" i="4" s="1"/>
  <c r="J489" i="4"/>
  <c r="I489" i="4"/>
  <c r="K489" i="4" s="1"/>
  <c r="J488" i="4"/>
  <c r="I488" i="4"/>
  <c r="K488" i="4" s="1"/>
  <c r="J487" i="4"/>
  <c r="I487" i="4"/>
  <c r="K487" i="4" s="1"/>
  <c r="J486" i="4"/>
  <c r="I486" i="4"/>
  <c r="K486" i="4" s="1"/>
  <c r="J485" i="4"/>
  <c r="I485" i="4"/>
  <c r="K485" i="4" s="1"/>
  <c r="J484" i="4"/>
  <c r="I484" i="4"/>
  <c r="K484" i="4" s="1"/>
  <c r="J483" i="4"/>
  <c r="I483" i="4"/>
  <c r="K483" i="4" s="1"/>
  <c r="J482" i="4"/>
  <c r="I482" i="4"/>
  <c r="J481" i="4"/>
  <c r="I481" i="4"/>
  <c r="J480" i="4"/>
  <c r="I480" i="4"/>
  <c r="K480" i="4" s="1"/>
  <c r="J479" i="4"/>
  <c r="I479" i="4"/>
  <c r="K479" i="4" s="1"/>
  <c r="J478" i="4"/>
  <c r="I478" i="4"/>
  <c r="K478" i="4" s="1"/>
  <c r="J477" i="4"/>
  <c r="I477" i="4"/>
  <c r="K477" i="4" s="1"/>
  <c r="J476" i="4"/>
  <c r="I476" i="4"/>
  <c r="K476" i="4" s="1"/>
  <c r="J475" i="4"/>
  <c r="I475" i="4"/>
  <c r="K475" i="4" s="1"/>
  <c r="J474" i="4"/>
  <c r="I474" i="4"/>
  <c r="J473" i="4"/>
  <c r="I473" i="4"/>
  <c r="J472" i="4"/>
  <c r="I472" i="4"/>
  <c r="K472" i="4" s="1"/>
  <c r="J471" i="4"/>
  <c r="I471" i="4"/>
  <c r="K471" i="4" s="1"/>
  <c r="J470" i="4"/>
  <c r="I470" i="4"/>
  <c r="K470" i="4" s="1"/>
  <c r="J469" i="4"/>
  <c r="I469" i="4"/>
  <c r="K469" i="4" s="1"/>
  <c r="J468" i="4"/>
  <c r="I468" i="4"/>
  <c r="K468" i="4" s="1"/>
  <c r="J467" i="4"/>
  <c r="I467" i="4"/>
  <c r="K467" i="4" s="1"/>
  <c r="J466" i="4"/>
  <c r="I466" i="4"/>
  <c r="J465" i="4"/>
  <c r="I465" i="4"/>
  <c r="J464" i="4"/>
  <c r="I464" i="4"/>
  <c r="N463" i="4"/>
  <c r="N462" i="4"/>
  <c r="N461" i="4"/>
  <c r="N460" i="4"/>
  <c r="N459" i="4"/>
  <c r="L459" i="4"/>
  <c r="N458" i="4"/>
  <c r="L458" i="4"/>
  <c r="O458" i="4" s="1"/>
  <c r="N457" i="4"/>
  <c r="L457" i="4"/>
  <c r="N456" i="4"/>
  <c r="L456" i="4"/>
  <c r="N455" i="4"/>
  <c r="L455" i="4"/>
  <c r="J455" i="4"/>
  <c r="I455" i="4"/>
  <c r="J454" i="4"/>
  <c r="J453" i="4"/>
  <c r="J452" i="4"/>
  <c r="I452" i="4"/>
  <c r="K452" i="4" s="1"/>
  <c r="J451" i="4"/>
  <c r="I451" i="4"/>
  <c r="K451" i="4" s="1"/>
  <c r="J450" i="4"/>
  <c r="I450" i="4"/>
  <c r="J449" i="4"/>
  <c r="I449" i="4"/>
  <c r="J448" i="4"/>
  <c r="J447" i="4"/>
  <c r="J446" i="4"/>
  <c r="J445" i="4"/>
  <c r="N443" i="4"/>
  <c r="N442" i="4"/>
  <c r="N441" i="4"/>
  <c r="N440" i="4"/>
  <c r="N439" i="4"/>
  <c r="L439" i="4"/>
  <c r="N438" i="4"/>
  <c r="L438" i="4"/>
  <c r="O438" i="4" s="1"/>
  <c r="N437" i="4"/>
  <c r="L437" i="4"/>
  <c r="N436" i="4"/>
  <c r="L436" i="4"/>
  <c r="O436" i="4" s="1"/>
  <c r="N435" i="4"/>
  <c r="L435" i="4"/>
  <c r="J435" i="4"/>
  <c r="I435" i="4"/>
  <c r="J434" i="4"/>
  <c r="J433" i="4"/>
  <c r="J432" i="4"/>
  <c r="I432" i="4"/>
  <c r="J431" i="4"/>
  <c r="I431" i="4"/>
  <c r="J430" i="4"/>
  <c r="I430" i="4"/>
  <c r="J429" i="4"/>
  <c r="I429" i="4"/>
  <c r="J428" i="4"/>
  <c r="I428" i="4"/>
  <c r="J427" i="4"/>
  <c r="I427" i="4"/>
  <c r="J426" i="4"/>
  <c r="I426" i="4"/>
  <c r="J425" i="4"/>
  <c r="I425" i="4"/>
  <c r="J424" i="4"/>
  <c r="I424" i="4"/>
  <c r="J423" i="4"/>
  <c r="I423" i="4"/>
  <c r="J422" i="4"/>
  <c r="I422" i="4"/>
  <c r="J421" i="4"/>
  <c r="I421" i="4"/>
  <c r="J420" i="4"/>
  <c r="I420" i="4"/>
  <c r="J419" i="4"/>
  <c r="I419" i="4"/>
  <c r="J418" i="4"/>
  <c r="I418" i="4"/>
  <c r="J417" i="4"/>
  <c r="I417" i="4"/>
  <c r="J416" i="4"/>
  <c r="I416" i="4"/>
  <c r="J415" i="4"/>
  <c r="J414" i="4"/>
  <c r="J413" i="4"/>
  <c r="J412" i="4"/>
  <c r="N410" i="4"/>
  <c r="N409" i="4"/>
  <c r="N408" i="4"/>
  <c r="N407" i="4"/>
  <c r="N406" i="4"/>
  <c r="L406" i="4"/>
  <c r="N405" i="4"/>
  <c r="L405" i="4"/>
  <c r="O405" i="4" s="1"/>
  <c r="N404" i="4"/>
  <c r="L404" i="4"/>
  <c r="N403" i="4"/>
  <c r="L403" i="4"/>
  <c r="O403" i="4" s="1"/>
  <c r="J402" i="4"/>
  <c r="I402" i="4"/>
  <c r="N401" i="4"/>
  <c r="L401" i="4"/>
  <c r="J401" i="4"/>
  <c r="I401" i="4"/>
  <c r="J400" i="4"/>
  <c r="J399" i="4"/>
  <c r="J398" i="4"/>
  <c r="I398" i="4"/>
  <c r="J397" i="4"/>
  <c r="I397" i="4"/>
  <c r="J396" i="4"/>
  <c r="I396" i="4"/>
  <c r="J394" i="4"/>
  <c r="J393" i="4"/>
  <c r="J392" i="4"/>
  <c r="J391" i="4"/>
  <c r="N389" i="4"/>
  <c r="N388" i="4"/>
  <c r="N387" i="4"/>
  <c r="N386" i="4"/>
  <c r="N385" i="4"/>
  <c r="L385" i="4"/>
  <c r="N384" i="4"/>
  <c r="L384" i="4"/>
  <c r="N383" i="4"/>
  <c r="L383" i="4"/>
  <c r="N382" i="4"/>
  <c r="L382" i="4"/>
  <c r="O382" i="4" s="1"/>
  <c r="J381" i="4"/>
  <c r="I381" i="4"/>
  <c r="N380" i="4"/>
  <c r="L380" i="4"/>
  <c r="J380" i="4"/>
  <c r="I380" i="4"/>
  <c r="J379" i="4"/>
  <c r="J378" i="4"/>
  <c r="J377" i="4"/>
  <c r="I377" i="4"/>
  <c r="J376" i="4"/>
  <c r="I376" i="4"/>
  <c r="K376" i="4" s="1"/>
  <c r="J375" i="4"/>
  <c r="I375" i="4"/>
  <c r="J374" i="4"/>
  <c r="I374" i="4"/>
  <c r="J373" i="4"/>
  <c r="I373" i="4"/>
  <c r="K373" i="4" s="1"/>
  <c r="J372" i="4"/>
  <c r="I372" i="4"/>
  <c r="J371" i="4"/>
  <c r="I371" i="4"/>
  <c r="K371" i="4" s="1"/>
  <c r="J370" i="4"/>
  <c r="I370" i="4"/>
  <c r="J369" i="4"/>
  <c r="I369" i="4"/>
  <c r="K369" i="4" s="1"/>
  <c r="J368" i="4"/>
  <c r="I368" i="4"/>
  <c r="J367" i="4"/>
  <c r="J366" i="4"/>
  <c r="J365" i="4"/>
  <c r="I365" i="4"/>
  <c r="K365" i="4" s="1"/>
  <c r="J364" i="4"/>
  <c r="J363" i="4"/>
  <c r="J362" i="4"/>
  <c r="J361" i="4"/>
  <c r="J360" i="4"/>
  <c r="N358" i="4"/>
  <c r="N357" i="4"/>
  <c r="N356" i="4"/>
  <c r="N355" i="4"/>
  <c r="N354" i="4"/>
  <c r="L354" i="4"/>
  <c r="N353" i="4"/>
  <c r="L353" i="4"/>
  <c r="O353" i="4" s="1"/>
  <c r="N352" i="4"/>
  <c r="L352" i="4"/>
  <c r="N351" i="4"/>
  <c r="L351" i="4"/>
  <c r="O351" i="4" s="1"/>
  <c r="J350" i="4"/>
  <c r="I350" i="4"/>
  <c r="N349" i="4"/>
  <c r="L349" i="4"/>
  <c r="J349" i="4"/>
  <c r="I349" i="4"/>
  <c r="N347" i="4"/>
  <c r="L347" i="4"/>
  <c r="J346" i="4"/>
  <c r="I346" i="4"/>
  <c r="K346" i="4" s="1"/>
  <c r="J345" i="4"/>
  <c r="I345" i="4"/>
  <c r="J344" i="4"/>
  <c r="I344" i="4"/>
  <c r="K344" i="4" s="1"/>
  <c r="J343" i="4"/>
  <c r="I343" i="4"/>
  <c r="J342" i="4"/>
  <c r="I342" i="4"/>
  <c r="K342" i="4" s="1"/>
  <c r="J341" i="4"/>
  <c r="I341" i="4"/>
  <c r="J340" i="4"/>
  <c r="I340" i="4"/>
  <c r="J339" i="4"/>
  <c r="I339" i="4"/>
  <c r="K339" i="4" s="1"/>
  <c r="N337" i="4"/>
  <c r="L337" i="4"/>
  <c r="M337" i="4" s="1"/>
  <c r="L335" i="4"/>
  <c r="L334" i="4"/>
  <c r="N333" i="4"/>
  <c r="M333" i="4"/>
  <c r="O332" i="4"/>
  <c r="P330" i="4"/>
  <c r="O330" i="4"/>
  <c r="N330" i="4"/>
  <c r="M330" i="4"/>
  <c r="L330" i="4"/>
  <c r="J328" i="4"/>
  <c r="I328" i="4"/>
  <c r="J326" i="4"/>
  <c r="J325" i="4"/>
  <c r="J324" i="4"/>
  <c r="I324" i="4"/>
  <c r="K324" i="4" s="1"/>
  <c r="J323" i="4"/>
  <c r="J322" i="4"/>
  <c r="J321" i="4"/>
  <c r="J320" i="4"/>
  <c r="N318" i="4"/>
  <c r="L318" i="4"/>
  <c r="L316" i="4"/>
  <c r="L315" i="4"/>
  <c r="N314" i="4"/>
  <c r="M314" i="4"/>
  <c r="O313" i="4"/>
  <c r="N311" i="4"/>
  <c r="M311" i="4"/>
  <c r="P311" i="4" s="1"/>
  <c r="L311" i="4"/>
  <c r="J309" i="4"/>
  <c r="I309" i="4"/>
  <c r="K309" i="4" s="1"/>
  <c r="J308" i="4"/>
  <c r="J307" i="4"/>
  <c r="J306" i="4"/>
  <c r="I306" i="4"/>
  <c r="K306" i="4" s="1"/>
  <c r="J304" i="4"/>
  <c r="I304" i="4"/>
  <c r="K304" i="4" s="1"/>
  <c r="J303" i="4"/>
  <c r="J302" i="4"/>
  <c r="J301" i="4"/>
  <c r="J300" i="4"/>
  <c r="N298" i="4"/>
  <c r="L298" i="4"/>
  <c r="O298" i="4" s="1"/>
  <c r="L296" i="4"/>
  <c r="L295" i="4"/>
  <c r="N294" i="4"/>
  <c r="M294" i="4"/>
  <c r="P294" i="4" s="1"/>
  <c r="O293" i="4"/>
  <c r="P291" i="4"/>
  <c r="N291" i="4"/>
  <c r="M291" i="4"/>
  <c r="L291" i="4"/>
  <c r="O291" i="4" s="1"/>
  <c r="J289" i="4"/>
  <c r="I289" i="4"/>
  <c r="K289" i="4" s="1"/>
  <c r="J287" i="4"/>
  <c r="J286" i="4"/>
  <c r="J285" i="4"/>
  <c r="I285" i="4"/>
  <c r="K285" i="4" s="1"/>
  <c r="J284" i="4"/>
  <c r="J283" i="4"/>
  <c r="J282" i="4"/>
  <c r="J281" i="4"/>
  <c r="N279" i="4"/>
  <c r="L279" i="4"/>
  <c r="O279" i="4" s="1"/>
  <c r="L277" i="4"/>
  <c r="L276" i="4"/>
  <c r="N275" i="4"/>
  <c r="M275" i="4"/>
  <c r="P275" i="4" s="1"/>
  <c r="O274" i="4"/>
  <c r="N272" i="4"/>
  <c r="M272" i="4"/>
  <c r="L272" i="4"/>
  <c r="O272" i="4" s="1"/>
  <c r="J270" i="4"/>
  <c r="I270" i="4"/>
  <c r="K270" i="4" s="1"/>
  <c r="J269" i="4"/>
  <c r="J268" i="4"/>
  <c r="J267" i="4"/>
  <c r="I267" i="4"/>
  <c r="J266" i="4"/>
  <c r="I266" i="4"/>
  <c r="J265" i="4"/>
  <c r="I265" i="4"/>
  <c r="J264" i="4"/>
  <c r="I264" i="4"/>
  <c r="J263" i="4"/>
  <c r="J262" i="4"/>
  <c r="J261" i="4"/>
  <c r="J260" i="4"/>
  <c r="N258" i="4"/>
  <c r="L258" i="4"/>
  <c r="L256" i="4"/>
  <c r="L255" i="4"/>
  <c r="N254" i="4"/>
  <c r="M254" i="4"/>
  <c r="M252" i="4" s="1"/>
  <c r="O253" i="4"/>
  <c r="N251" i="4"/>
  <c r="M251" i="4"/>
  <c r="P251" i="4" s="1"/>
  <c r="L251" i="4"/>
  <c r="J249" i="4"/>
  <c r="I249" i="4"/>
  <c r="J246" i="4"/>
  <c r="J245" i="4"/>
  <c r="J244" i="4"/>
  <c r="I244" i="4"/>
  <c r="K244" i="4" s="1"/>
  <c r="J243" i="4"/>
  <c r="J242" i="4"/>
  <c r="J241" i="4"/>
  <c r="J240" i="4"/>
  <c r="J238" i="4"/>
  <c r="I238" i="4"/>
  <c r="K238" i="4" s="1"/>
  <c r="J237" i="4"/>
  <c r="J236" i="4"/>
  <c r="J235" i="4"/>
  <c r="I235" i="4"/>
  <c r="J234" i="4"/>
  <c r="J233" i="4"/>
  <c r="J232" i="4"/>
  <c r="J231" i="4"/>
  <c r="J229" i="4"/>
  <c r="I229" i="4"/>
  <c r="N228" i="4"/>
  <c r="L228" i="4"/>
  <c r="O228" i="4" s="1"/>
  <c r="L226" i="4"/>
  <c r="L225" i="4"/>
  <c r="N224" i="4"/>
  <c r="M224" i="4"/>
  <c r="O223" i="4"/>
  <c r="P221" i="4"/>
  <c r="N221" i="4"/>
  <c r="M221" i="4"/>
  <c r="L221" i="4"/>
  <c r="O221" i="4" s="1"/>
  <c r="J219" i="4"/>
  <c r="I219" i="4"/>
  <c r="J218" i="4"/>
  <c r="J217" i="4"/>
  <c r="J216" i="4"/>
  <c r="I216" i="4"/>
  <c r="K216" i="4" s="1"/>
  <c r="J215" i="4"/>
  <c r="I215" i="4"/>
  <c r="K215" i="4" s="1"/>
  <c r="J213" i="4"/>
  <c r="I213" i="4"/>
  <c r="K213" i="4" s="1"/>
  <c r="J212" i="4"/>
  <c r="J211" i="4"/>
  <c r="J210" i="4"/>
  <c r="J209" i="4"/>
  <c r="J204" i="4"/>
  <c r="I204" i="4"/>
  <c r="K204" i="4" s="1"/>
  <c r="J203" i="4"/>
  <c r="J202" i="4"/>
  <c r="J201" i="4"/>
  <c r="I201" i="4"/>
  <c r="J200" i="4"/>
  <c r="I200" i="4"/>
  <c r="J199" i="4"/>
  <c r="I199" i="4"/>
  <c r="J197" i="4"/>
  <c r="J196" i="4"/>
  <c r="J195" i="4"/>
  <c r="J194" i="4"/>
  <c r="J189" i="4"/>
  <c r="I189" i="4"/>
  <c r="J188" i="4"/>
  <c r="J187" i="4"/>
  <c r="J186" i="4"/>
  <c r="I186" i="4"/>
  <c r="K186" i="4" s="1"/>
  <c r="J185" i="4"/>
  <c r="I185" i="4"/>
  <c r="K185" i="4" s="1"/>
  <c r="J184" i="4"/>
  <c r="J183" i="4"/>
  <c r="J182" i="4"/>
  <c r="J181" i="4"/>
  <c r="J176" i="4"/>
  <c r="I176" i="4"/>
  <c r="K176" i="4" s="1"/>
  <c r="J175" i="4"/>
  <c r="J174" i="4"/>
  <c r="J173" i="4"/>
  <c r="I173" i="4"/>
  <c r="J172" i="4"/>
  <c r="J171" i="4"/>
  <c r="J170" i="4"/>
  <c r="J169" i="4"/>
  <c r="J164" i="4"/>
  <c r="I164" i="4"/>
  <c r="J163" i="4"/>
  <c r="J162" i="4"/>
  <c r="J161" i="4"/>
  <c r="J160" i="4"/>
  <c r="J159" i="4"/>
  <c r="J158" i="4"/>
  <c r="I158" i="4"/>
  <c r="J157" i="4"/>
  <c r="J156" i="4"/>
  <c r="J155" i="4"/>
  <c r="J154" i="4"/>
  <c r="J149" i="4"/>
  <c r="I149" i="4"/>
  <c r="N148" i="4"/>
  <c r="L148" i="4"/>
  <c r="O148" i="4" s="1"/>
  <c r="L146" i="4"/>
  <c r="L145" i="4"/>
  <c r="N144" i="4"/>
  <c r="M144" i="4"/>
  <c r="O143" i="4"/>
  <c r="P141" i="4"/>
  <c r="O141" i="4"/>
  <c r="N141" i="4"/>
  <c r="M141" i="4"/>
  <c r="L141" i="4"/>
  <c r="J138" i="4"/>
  <c r="I138" i="4"/>
  <c r="J135" i="4"/>
  <c r="J134" i="4"/>
  <c r="J133" i="4"/>
  <c r="I133" i="4"/>
  <c r="K133" i="4" s="1"/>
  <c r="J132" i="4"/>
  <c r="I132" i="4"/>
  <c r="K132" i="4" s="1"/>
  <c r="J131" i="4"/>
  <c r="J130" i="4"/>
  <c r="J129" i="4"/>
  <c r="J128" i="4"/>
  <c r="N126" i="4"/>
  <c r="L126" i="4"/>
  <c r="L124" i="4"/>
  <c r="L123" i="4"/>
  <c r="N122" i="4"/>
  <c r="M122" i="4"/>
  <c r="O121" i="4"/>
  <c r="P119" i="4"/>
  <c r="O119" i="4"/>
  <c r="N119" i="4"/>
  <c r="M119" i="4"/>
  <c r="L119" i="4"/>
  <c r="J117" i="4"/>
  <c r="I117" i="4"/>
  <c r="K117" i="4" s="1"/>
  <c r="J115" i="4"/>
  <c r="J114" i="4"/>
  <c r="J113" i="4"/>
  <c r="I113" i="4"/>
  <c r="J112" i="4"/>
  <c r="I112" i="4"/>
  <c r="J111" i="4"/>
  <c r="I111" i="4"/>
  <c r="J110" i="4"/>
  <c r="I110" i="4"/>
  <c r="J109" i="4"/>
  <c r="I109" i="4"/>
  <c r="J108" i="4"/>
  <c r="I108" i="4"/>
  <c r="J107" i="4"/>
  <c r="J106" i="4"/>
  <c r="J105" i="4"/>
  <c r="J104" i="4"/>
  <c r="N102" i="4"/>
  <c r="L102" i="4"/>
  <c r="M102" i="4" s="1"/>
  <c r="L100" i="4"/>
  <c r="L99" i="4"/>
  <c r="N98" i="4"/>
  <c r="M98" i="4"/>
  <c r="O97" i="4"/>
  <c r="P95" i="4"/>
  <c r="O95" i="4"/>
  <c r="N95" i="4"/>
  <c r="M95" i="4"/>
  <c r="L95" i="4"/>
  <c r="J93" i="4"/>
  <c r="I93" i="4"/>
  <c r="J92" i="4"/>
  <c r="I92" i="4"/>
  <c r="J90" i="4"/>
  <c r="J89" i="4"/>
  <c r="J88" i="4"/>
  <c r="I88" i="4"/>
  <c r="K88" i="4" s="1"/>
  <c r="J87" i="4"/>
  <c r="I87" i="4"/>
  <c r="K87" i="4" s="1"/>
  <c r="J86" i="4"/>
  <c r="I86" i="4"/>
  <c r="K86" i="4" s="1"/>
  <c r="J85" i="4"/>
  <c r="I85" i="4"/>
  <c r="K85" i="4" s="1"/>
  <c r="J84" i="4"/>
  <c r="I84" i="4"/>
  <c r="K84" i="4" s="1"/>
  <c r="J83" i="4"/>
  <c r="I83" i="4"/>
  <c r="K83" i="4" s="1"/>
  <c r="J82" i="4"/>
  <c r="I82" i="4"/>
  <c r="K82" i="4" s="1"/>
  <c r="J81" i="4"/>
  <c r="I81" i="4"/>
  <c r="K81" i="4" s="1"/>
  <c r="J80" i="4"/>
  <c r="I80" i="4"/>
  <c r="K80" i="4" s="1"/>
  <c r="J79" i="4"/>
  <c r="J78" i="4"/>
  <c r="J77" i="4"/>
  <c r="J76" i="4"/>
  <c r="N74" i="4"/>
  <c r="L74" i="4"/>
  <c r="O74" i="4" s="1"/>
  <c r="L72" i="4"/>
  <c r="L71" i="4"/>
  <c r="N70" i="4"/>
  <c r="M70" i="4"/>
  <c r="P70" i="4" s="1"/>
  <c r="O69" i="4"/>
  <c r="P67" i="4"/>
  <c r="O67" i="4"/>
  <c r="N67" i="4"/>
  <c r="M67" i="4"/>
  <c r="L67" i="4"/>
  <c r="J65" i="4"/>
  <c r="I65" i="4"/>
  <c r="K65" i="4" s="1"/>
  <c r="J64" i="4"/>
  <c r="I64" i="4"/>
  <c r="K64" i="4" s="1"/>
  <c r="N61" i="4"/>
  <c r="L61" i="4"/>
  <c r="O61" i="4" s="1"/>
  <c r="L59" i="4"/>
  <c r="L58" i="4"/>
  <c r="N57" i="4"/>
  <c r="M57" i="4"/>
  <c r="M55" i="4" s="1"/>
  <c r="P54" i="4"/>
  <c r="O54" i="4"/>
  <c r="N54" i="4"/>
  <c r="M54" i="4"/>
  <c r="L54" i="4"/>
  <c r="N49" i="4"/>
  <c r="L49" i="4"/>
  <c r="L47" i="4"/>
  <c r="L46" i="4"/>
  <c r="N45" i="4"/>
  <c r="M45" i="4"/>
  <c r="P42" i="4"/>
  <c r="N42" i="4"/>
  <c r="M42" i="4"/>
  <c r="L42" i="4"/>
  <c r="O42" i="4" s="1"/>
  <c r="P36" i="4"/>
  <c r="O36" i="4"/>
  <c r="P35" i="4"/>
  <c r="O35" i="4"/>
  <c r="M34" i="4"/>
  <c r="P34" i="4" s="1"/>
  <c r="P33" i="4"/>
  <c r="M33" i="4"/>
  <c r="P32" i="4"/>
  <c r="M32" i="4"/>
  <c r="P31" i="4"/>
  <c r="M31" i="4"/>
  <c r="M30" i="4"/>
  <c r="P30" i="4" s="1"/>
  <c r="M29" i="4"/>
  <c r="P25" i="4"/>
  <c r="O25" i="4"/>
  <c r="N25" i="4"/>
  <c r="M25" i="4"/>
  <c r="L25" i="4"/>
  <c r="N24" i="4"/>
  <c r="M24" i="4"/>
  <c r="P24" i="4" s="1"/>
  <c r="N23" i="4"/>
  <c r="M23" i="4"/>
  <c r="N21" i="4"/>
  <c r="N19" i="4" s="1"/>
  <c r="M21" i="4"/>
  <c r="P21" i="4" s="1"/>
  <c r="L21" i="4"/>
  <c r="P19" i="4"/>
  <c r="M19" i="4"/>
  <c r="N15" i="4"/>
  <c r="M15" i="4"/>
  <c r="P15" i="4" s="1"/>
  <c r="L15" i="4"/>
  <c r="O15" i="4" s="1"/>
  <c r="M14" i="4"/>
  <c r="P14" i="4" s="1"/>
  <c r="M11" i="4"/>
  <c r="P11" i="4" s="1"/>
  <c r="M9" i="4"/>
  <c r="J677" i="3"/>
  <c r="J676" i="3"/>
  <c r="J675" i="3"/>
  <c r="J674" i="3"/>
  <c r="J673" i="3"/>
  <c r="J672" i="3"/>
  <c r="N671" i="3"/>
  <c r="L671" i="3"/>
  <c r="O671" i="3" s="1"/>
  <c r="I671" i="3"/>
  <c r="K671" i="3" s="1"/>
  <c r="J670" i="3"/>
  <c r="J669" i="3"/>
  <c r="N668" i="3"/>
  <c r="L668" i="3"/>
  <c r="O668" i="3" s="1"/>
  <c r="J668" i="3"/>
  <c r="I668" i="3"/>
  <c r="K668" i="3" s="1"/>
  <c r="J667" i="3"/>
  <c r="J666" i="3"/>
  <c r="N665" i="3"/>
  <c r="L665" i="3"/>
  <c r="J665" i="3"/>
  <c r="I665" i="3"/>
  <c r="K665" i="3" s="1"/>
  <c r="J663" i="3"/>
  <c r="I663" i="3"/>
  <c r="K663" i="3" s="1"/>
  <c r="J662" i="3"/>
  <c r="N661" i="3"/>
  <c r="L661" i="3"/>
  <c r="O661" i="3" s="1"/>
  <c r="J661" i="3"/>
  <c r="J660" i="3"/>
  <c r="J659" i="3"/>
  <c r="J658" i="3"/>
  <c r="J657" i="3"/>
  <c r="J656" i="3"/>
  <c r="J655" i="3"/>
  <c r="J653" i="3"/>
  <c r="J652" i="3"/>
  <c r="N651" i="3"/>
  <c r="L651" i="3"/>
  <c r="O651" i="3" s="1"/>
  <c r="I651" i="3"/>
  <c r="K651" i="3" s="1"/>
  <c r="N650" i="3"/>
  <c r="L650" i="3"/>
  <c r="O650" i="3" s="1"/>
  <c r="J650" i="3"/>
  <c r="I650" i="3"/>
  <c r="K650" i="3" s="1"/>
  <c r="N649" i="3"/>
  <c r="L649" i="3"/>
  <c r="O649" i="3" s="1"/>
  <c r="J649" i="3"/>
  <c r="I649" i="3"/>
  <c r="K649" i="3" s="1"/>
  <c r="N648" i="3"/>
  <c r="L648" i="3"/>
  <c r="J648" i="3"/>
  <c r="I648" i="3"/>
  <c r="K648" i="3" s="1"/>
  <c r="J647" i="3"/>
  <c r="J646" i="3"/>
  <c r="O639" i="3"/>
  <c r="O637" i="3"/>
  <c r="J635" i="3"/>
  <c r="I635" i="3"/>
  <c r="J634" i="3"/>
  <c r="I634" i="3"/>
  <c r="J633" i="3"/>
  <c r="I633" i="3"/>
  <c r="J632" i="3"/>
  <c r="I632" i="3"/>
  <c r="K632" i="3" s="1"/>
  <c r="J631" i="3"/>
  <c r="I631" i="3"/>
  <c r="J630" i="3"/>
  <c r="I630" i="3"/>
  <c r="J629" i="3"/>
  <c r="I629" i="3"/>
  <c r="J628" i="3"/>
  <c r="I628" i="3"/>
  <c r="J626" i="3"/>
  <c r="I626" i="3"/>
  <c r="J625" i="3"/>
  <c r="I625" i="3"/>
  <c r="J624" i="3"/>
  <c r="I624" i="3"/>
  <c r="J623" i="3"/>
  <c r="I623" i="3"/>
  <c r="J622" i="3"/>
  <c r="I622" i="3"/>
  <c r="J621" i="3"/>
  <c r="I621" i="3"/>
  <c r="J620" i="3"/>
  <c r="I620" i="3"/>
  <c r="J619" i="3"/>
  <c r="I619" i="3"/>
  <c r="J618" i="3"/>
  <c r="I618" i="3"/>
  <c r="J617" i="3"/>
  <c r="I617" i="3"/>
  <c r="J616" i="3"/>
  <c r="I616" i="3"/>
  <c r="J615" i="3"/>
  <c r="I615" i="3"/>
  <c r="J614" i="3"/>
  <c r="I614" i="3"/>
  <c r="J613" i="3"/>
  <c r="I613" i="3"/>
  <c r="J612" i="3"/>
  <c r="I612" i="3"/>
  <c r="J611" i="3"/>
  <c r="I611" i="3"/>
  <c r="J610" i="3"/>
  <c r="J609" i="3"/>
  <c r="J608" i="3"/>
  <c r="J607" i="3"/>
  <c r="N605" i="3"/>
  <c r="N604" i="3"/>
  <c r="N603" i="3"/>
  <c r="N602" i="3"/>
  <c r="N601" i="3"/>
  <c r="L601" i="3"/>
  <c r="N600" i="3"/>
  <c r="L600" i="3"/>
  <c r="O600" i="3" s="1"/>
  <c r="N599" i="3"/>
  <c r="L599" i="3"/>
  <c r="O599" i="3" s="1"/>
  <c r="N598" i="3"/>
  <c r="L598" i="3"/>
  <c r="O598" i="3" s="1"/>
  <c r="N597" i="3"/>
  <c r="L597" i="3"/>
  <c r="J597" i="3"/>
  <c r="I597" i="3"/>
  <c r="K597" i="3" s="1"/>
  <c r="J596" i="3"/>
  <c r="I596" i="3"/>
  <c r="K596" i="3" s="1"/>
  <c r="J595" i="3"/>
  <c r="I595" i="3"/>
  <c r="K595" i="3" s="1"/>
  <c r="J594" i="3"/>
  <c r="I594" i="3"/>
  <c r="K594" i="3" s="1"/>
  <c r="J593" i="3"/>
  <c r="I593" i="3"/>
  <c r="K593" i="3" s="1"/>
  <c r="J592" i="3"/>
  <c r="I592" i="3"/>
  <c r="K592" i="3" s="1"/>
  <c r="J591" i="3"/>
  <c r="I591" i="3"/>
  <c r="K591" i="3" s="1"/>
  <c r="J590" i="3"/>
  <c r="I590" i="3"/>
  <c r="K590" i="3" s="1"/>
  <c r="J589" i="3"/>
  <c r="I589" i="3"/>
  <c r="K589" i="3" s="1"/>
  <c r="N588" i="3"/>
  <c r="N587" i="3"/>
  <c r="N586" i="3"/>
  <c r="N585" i="3"/>
  <c r="N584" i="3"/>
  <c r="L584" i="3"/>
  <c r="O584" i="3" s="1"/>
  <c r="N583" i="3"/>
  <c r="L583" i="3"/>
  <c r="O583" i="3" s="1"/>
  <c r="N582" i="3"/>
  <c r="L582" i="3"/>
  <c r="O582" i="3" s="1"/>
  <c r="N581" i="3"/>
  <c r="L581" i="3"/>
  <c r="O581" i="3" s="1"/>
  <c r="N580" i="3"/>
  <c r="L580" i="3"/>
  <c r="O580" i="3" s="1"/>
  <c r="J580" i="3"/>
  <c r="I580" i="3"/>
  <c r="K580" i="3" s="1"/>
  <c r="J579" i="3"/>
  <c r="I579" i="3"/>
  <c r="K579" i="3" s="1"/>
  <c r="J578" i="3"/>
  <c r="I578" i="3"/>
  <c r="K578" i="3" s="1"/>
  <c r="J577" i="3"/>
  <c r="I577" i="3"/>
  <c r="K577" i="3" s="1"/>
  <c r="J576" i="3"/>
  <c r="I576" i="3"/>
  <c r="K576" i="3" s="1"/>
  <c r="J575" i="3"/>
  <c r="I575" i="3"/>
  <c r="K575" i="3" s="1"/>
  <c r="J573" i="3"/>
  <c r="I573" i="3"/>
  <c r="N572" i="3"/>
  <c r="N571" i="3"/>
  <c r="N570" i="3"/>
  <c r="N569" i="3"/>
  <c r="N568" i="3"/>
  <c r="L568" i="3"/>
  <c r="N567" i="3"/>
  <c r="L567" i="3"/>
  <c r="O567" i="3" s="1"/>
  <c r="N566" i="3"/>
  <c r="L566" i="3"/>
  <c r="N565" i="3"/>
  <c r="L565" i="3"/>
  <c r="O565" i="3" s="1"/>
  <c r="N564" i="3"/>
  <c r="L564" i="3"/>
  <c r="J564" i="3"/>
  <c r="I564" i="3"/>
  <c r="J561" i="3"/>
  <c r="I561" i="3"/>
  <c r="K561" i="3" s="1"/>
  <c r="J560" i="3"/>
  <c r="I560" i="3"/>
  <c r="K560" i="3" s="1"/>
  <c r="N559" i="3"/>
  <c r="N558" i="3"/>
  <c r="N557" i="3"/>
  <c r="N556" i="3"/>
  <c r="N555" i="3"/>
  <c r="L555" i="3"/>
  <c r="O555" i="3" s="1"/>
  <c r="N554" i="3"/>
  <c r="L554" i="3"/>
  <c r="O554" i="3" s="1"/>
  <c r="N553" i="3"/>
  <c r="L553" i="3"/>
  <c r="O553" i="3" s="1"/>
  <c r="N552" i="3"/>
  <c r="L552" i="3"/>
  <c r="O552" i="3" s="1"/>
  <c r="N551" i="3"/>
  <c r="L551" i="3"/>
  <c r="O551" i="3" s="1"/>
  <c r="J551" i="3"/>
  <c r="I551" i="3"/>
  <c r="K551" i="3" s="1"/>
  <c r="J550" i="3"/>
  <c r="J549" i="3"/>
  <c r="J548" i="3"/>
  <c r="I548" i="3"/>
  <c r="K548" i="3" s="1"/>
  <c r="J547" i="3"/>
  <c r="I547" i="3"/>
  <c r="J546" i="3"/>
  <c r="J545" i="3"/>
  <c r="J544" i="3"/>
  <c r="J543" i="3"/>
  <c r="N541" i="3"/>
  <c r="N540" i="3"/>
  <c r="N539" i="3"/>
  <c r="N538" i="3"/>
  <c r="N537" i="3"/>
  <c r="L537" i="3"/>
  <c r="N536" i="3"/>
  <c r="L536" i="3"/>
  <c r="O536" i="3" s="1"/>
  <c r="N535" i="3"/>
  <c r="L535" i="3"/>
  <c r="N534" i="3"/>
  <c r="L534" i="3"/>
  <c r="O534" i="3" s="1"/>
  <c r="N533" i="3"/>
  <c r="L533" i="3"/>
  <c r="J533" i="3"/>
  <c r="I533" i="3"/>
  <c r="J532" i="3"/>
  <c r="I532" i="3"/>
  <c r="J531" i="3"/>
  <c r="I531" i="3"/>
  <c r="J530" i="3"/>
  <c r="I530" i="3"/>
  <c r="J529" i="3"/>
  <c r="I529" i="3"/>
  <c r="J528" i="3"/>
  <c r="I528" i="3"/>
  <c r="J527" i="3"/>
  <c r="I527" i="3"/>
  <c r="J526" i="3"/>
  <c r="I526" i="3"/>
  <c r="J525" i="3"/>
  <c r="I525" i="3"/>
  <c r="J524" i="3"/>
  <c r="I524" i="3"/>
  <c r="J523" i="3"/>
  <c r="I523" i="3"/>
  <c r="J522" i="3"/>
  <c r="I522" i="3"/>
  <c r="J521" i="3"/>
  <c r="I521" i="3"/>
  <c r="J520" i="3"/>
  <c r="I520" i="3"/>
  <c r="J519" i="3"/>
  <c r="I519" i="3"/>
  <c r="J518" i="3"/>
  <c r="I518" i="3"/>
  <c r="J517" i="3"/>
  <c r="I517" i="3"/>
  <c r="J516" i="3"/>
  <c r="I516" i="3"/>
  <c r="J515" i="3"/>
  <c r="I515" i="3"/>
  <c r="K515" i="3" s="1"/>
  <c r="J514" i="3"/>
  <c r="I514" i="3"/>
  <c r="K514" i="3" s="1"/>
  <c r="J513" i="3"/>
  <c r="I513" i="3"/>
  <c r="K513" i="3" s="1"/>
  <c r="J512" i="3"/>
  <c r="I512" i="3"/>
  <c r="K512" i="3" s="1"/>
  <c r="J511" i="3"/>
  <c r="I511" i="3"/>
  <c r="K511" i="3" s="1"/>
  <c r="J510" i="3"/>
  <c r="I510" i="3"/>
  <c r="K510" i="3" s="1"/>
  <c r="J509" i="3"/>
  <c r="I509" i="3"/>
  <c r="K509" i="3" s="1"/>
  <c r="J508" i="3"/>
  <c r="I508" i="3"/>
  <c r="K508" i="3" s="1"/>
  <c r="J507" i="3"/>
  <c r="I507" i="3"/>
  <c r="K507" i="3" s="1"/>
  <c r="J506" i="3"/>
  <c r="I506" i="3"/>
  <c r="K506" i="3" s="1"/>
  <c r="J505" i="3"/>
  <c r="I505" i="3"/>
  <c r="K505" i="3" s="1"/>
  <c r="J504" i="3"/>
  <c r="I504" i="3"/>
  <c r="J503" i="3"/>
  <c r="I503" i="3"/>
  <c r="K503" i="3" s="1"/>
  <c r="J502" i="3"/>
  <c r="I502" i="3"/>
  <c r="K502" i="3" s="1"/>
  <c r="J501" i="3"/>
  <c r="I501" i="3"/>
  <c r="K501" i="3" s="1"/>
  <c r="J500" i="3"/>
  <c r="I500" i="3"/>
  <c r="K500" i="3" s="1"/>
  <c r="J499" i="3"/>
  <c r="I499" i="3"/>
  <c r="J498" i="3"/>
  <c r="I498" i="3"/>
  <c r="J497" i="3"/>
  <c r="I497" i="3"/>
  <c r="J496" i="3"/>
  <c r="I496" i="3"/>
  <c r="K496" i="3" s="1"/>
  <c r="J495" i="3"/>
  <c r="I495" i="3"/>
  <c r="K495" i="3" s="1"/>
  <c r="J494" i="3"/>
  <c r="I494" i="3"/>
  <c r="K494" i="3" s="1"/>
  <c r="J493" i="3"/>
  <c r="I493" i="3"/>
  <c r="K493" i="3" s="1"/>
  <c r="J492" i="3"/>
  <c r="I492" i="3"/>
  <c r="K492" i="3" s="1"/>
  <c r="J491" i="3"/>
  <c r="I491" i="3"/>
  <c r="K491" i="3" s="1"/>
  <c r="J490" i="3"/>
  <c r="I490" i="3"/>
  <c r="K490" i="3" s="1"/>
  <c r="J489" i="3"/>
  <c r="I489" i="3"/>
  <c r="K489" i="3" s="1"/>
  <c r="J488" i="3"/>
  <c r="I488" i="3"/>
  <c r="K488" i="3" s="1"/>
  <c r="J487" i="3"/>
  <c r="I487" i="3"/>
  <c r="K487" i="3" s="1"/>
  <c r="J486" i="3"/>
  <c r="I486" i="3"/>
  <c r="K486" i="3" s="1"/>
  <c r="J485" i="3"/>
  <c r="I485" i="3"/>
  <c r="K485" i="3" s="1"/>
  <c r="J484" i="3"/>
  <c r="I484" i="3"/>
  <c r="K484" i="3" s="1"/>
  <c r="J483" i="3"/>
  <c r="I483" i="3"/>
  <c r="K483" i="3" s="1"/>
  <c r="J482" i="3"/>
  <c r="I482" i="3"/>
  <c r="J481" i="3"/>
  <c r="I481" i="3"/>
  <c r="J480" i="3"/>
  <c r="I480" i="3"/>
  <c r="K480" i="3" s="1"/>
  <c r="J479" i="3"/>
  <c r="I479" i="3"/>
  <c r="K479" i="3" s="1"/>
  <c r="J478" i="3"/>
  <c r="I478" i="3"/>
  <c r="K478" i="3" s="1"/>
  <c r="J477" i="3"/>
  <c r="I477" i="3"/>
  <c r="K477" i="3" s="1"/>
  <c r="J476" i="3"/>
  <c r="I476" i="3"/>
  <c r="K476" i="3" s="1"/>
  <c r="J475" i="3"/>
  <c r="I475" i="3"/>
  <c r="K475" i="3" s="1"/>
  <c r="J474" i="3"/>
  <c r="I474" i="3"/>
  <c r="J473" i="3"/>
  <c r="I473" i="3"/>
  <c r="J472" i="3"/>
  <c r="I472" i="3"/>
  <c r="J471" i="3"/>
  <c r="I471" i="3"/>
  <c r="K471" i="3" s="1"/>
  <c r="J470" i="3"/>
  <c r="I470" i="3"/>
  <c r="K470" i="3" s="1"/>
  <c r="J469" i="3"/>
  <c r="I469" i="3"/>
  <c r="K469" i="3" s="1"/>
  <c r="J468" i="3"/>
  <c r="I468" i="3"/>
  <c r="K468" i="3" s="1"/>
  <c r="J467" i="3"/>
  <c r="I467" i="3"/>
  <c r="K467" i="3" s="1"/>
  <c r="J466" i="3"/>
  <c r="I466" i="3"/>
  <c r="J465" i="3"/>
  <c r="I465" i="3"/>
  <c r="J464" i="3"/>
  <c r="I464" i="3"/>
  <c r="N463" i="3"/>
  <c r="N462" i="3"/>
  <c r="N461" i="3"/>
  <c r="N460" i="3"/>
  <c r="N459" i="3"/>
  <c r="L459" i="3"/>
  <c r="N458" i="3"/>
  <c r="L458" i="3"/>
  <c r="N457" i="3"/>
  <c r="L457" i="3"/>
  <c r="N456" i="3"/>
  <c r="L456" i="3"/>
  <c r="O456" i="3" s="1"/>
  <c r="N455" i="3"/>
  <c r="L455" i="3"/>
  <c r="J455" i="3"/>
  <c r="I455" i="3"/>
  <c r="J454" i="3"/>
  <c r="J453" i="3"/>
  <c r="J452" i="3"/>
  <c r="I452" i="3"/>
  <c r="K452" i="3" s="1"/>
  <c r="J451" i="3"/>
  <c r="I451" i="3"/>
  <c r="J450" i="3"/>
  <c r="I450" i="3"/>
  <c r="J449" i="3"/>
  <c r="I449" i="3"/>
  <c r="J448" i="3"/>
  <c r="J447" i="3"/>
  <c r="J446" i="3"/>
  <c r="J445" i="3"/>
  <c r="N443" i="3"/>
  <c r="N442" i="3"/>
  <c r="N441" i="3"/>
  <c r="N440" i="3"/>
  <c r="N439" i="3"/>
  <c r="L439" i="3"/>
  <c r="N438" i="3"/>
  <c r="L438" i="3"/>
  <c r="O438" i="3" s="1"/>
  <c r="N437" i="3"/>
  <c r="L437" i="3"/>
  <c r="N436" i="3"/>
  <c r="L436" i="3"/>
  <c r="O436" i="3" s="1"/>
  <c r="N435" i="3"/>
  <c r="L435" i="3"/>
  <c r="J435" i="3"/>
  <c r="I435" i="3"/>
  <c r="J434" i="3"/>
  <c r="J433" i="3"/>
  <c r="J432" i="3"/>
  <c r="I432" i="3"/>
  <c r="J431" i="3"/>
  <c r="I431" i="3"/>
  <c r="J430" i="3"/>
  <c r="I430" i="3"/>
  <c r="J429" i="3"/>
  <c r="I429" i="3"/>
  <c r="J428" i="3"/>
  <c r="I428" i="3"/>
  <c r="J427" i="3"/>
  <c r="I427" i="3"/>
  <c r="J426" i="3"/>
  <c r="I426" i="3"/>
  <c r="J425" i="3"/>
  <c r="I425" i="3"/>
  <c r="J424" i="3"/>
  <c r="I424" i="3"/>
  <c r="J423" i="3"/>
  <c r="I423" i="3"/>
  <c r="J422" i="3"/>
  <c r="I422" i="3"/>
  <c r="J421" i="3"/>
  <c r="I421" i="3"/>
  <c r="J420" i="3"/>
  <c r="I420" i="3"/>
  <c r="J419" i="3"/>
  <c r="I419" i="3"/>
  <c r="J418" i="3"/>
  <c r="I418" i="3"/>
  <c r="J417" i="3"/>
  <c r="I417" i="3"/>
  <c r="J416" i="3"/>
  <c r="I416" i="3"/>
  <c r="J415" i="3"/>
  <c r="J414" i="3"/>
  <c r="J413" i="3"/>
  <c r="J412" i="3"/>
  <c r="N410" i="3"/>
  <c r="N409" i="3"/>
  <c r="N408" i="3"/>
  <c r="N407" i="3"/>
  <c r="N406" i="3"/>
  <c r="L406" i="3"/>
  <c r="O406" i="3" s="1"/>
  <c r="N405" i="3"/>
  <c r="L405" i="3"/>
  <c r="N404" i="3"/>
  <c r="L404" i="3"/>
  <c r="N403" i="3"/>
  <c r="L403" i="3"/>
  <c r="O403" i="3" s="1"/>
  <c r="J402" i="3"/>
  <c r="I402" i="3"/>
  <c r="K402" i="3" s="1"/>
  <c r="N401" i="3"/>
  <c r="L401" i="3"/>
  <c r="J401" i="3"/>
  <c r="I401" i="3"/>
  <c r="K401" i="3" s="1"/>
  <c r="J400" i="3"/>
  <c r="J399" i="3"/>
  <c r="J398" i="3"/>
  <c r="I398" i="3"/>
  <c r="J397" i="3"/>
  <c r="I397" i="3"/>
  <c r="J396" i="3"/>
  <c r="I396" i="3"/>
  <c r="J394" i="3"/>
  <c r="J393" i="3"/>
  <c r="J392" i="3"/>
  <c r="J391" i="3"/>
  <c r="N389" i="3"/>
  <c r="N388" i="3"/>
  <c r="N387" i="3"/>
  <c r="N386" i="3"/>
  <c r="N385" i="3"/>
  <c r="L385" i="3"/>
  <c r="O385" i="3" s="1"/>
  <c r="N384" i="3"/>
  <c r="L384" i="3"/>
  <c r="O384" i="3" s="1"/>
  <c r="N383" i="3"/>
  <c r="L383" i="3"/>
  <c r="N382" i="3"/>
  <c r="L382" i="3"/>
  <c r="J381" i="3"/>
  <c r="I381" i="3"/>
  <c r="K381" i="3" s="1"/>
  <c r="N380" i="3"/>
  <c r="L380" i="3"/>
  <c r="J380" i="3"/>
  <c r="I380" i="3"/>
  <c r="K380" i="3" s="1"/>
  <c r="J379" i="3"/>
  <c r="J378" i="3"/>
  <c r="J377" i="3"/>
  <c r="I377" i="3"/>
  <c r="J376" i="3"/>
  <c r="I376" i="3"/>
  <c r="J375" i="3"/>
  <c r="I375" i="3"/>
  <c r="K375" i="3" s="1"/>
  <c r="J374" i="3"/>
  <c r="I374" i="3"/>
  <c r="J373" i="3"/>
  <c r="I373" i="3"/>
  <c r="K373" i="3" s="1"/>
  <c r="J372" i="3"/>
  <c r="I372" i="3"/>
  <c r="K372" i="3" s="1"/>
  <c r="J371" i="3"/>
  <c r="I371" i="3"/>
  <c r="K371" i="3" s="1"/>
  <c r="J370" i="3"/>
  <c r="I370" i="3"/>
  <c r="K370" i="3" s="1"/>
  <c r="J369" i="3"/>
  <c r="I369" i="3"/>
  <c r="J368" i="3"/>
  <c r="I368" i="3"/>
  <c r="J367" i="3"/>
  <c r="J366" i="3"/>
  <c r="J365" i="3"/>
  <c r="I365" i="3"/>
  <c r="K365" i="3" s="1"/>
  <c r="J364" i="3"/>
  <c r="J363" i="3"/>
  <c r="J362" i="3"/>
  <c r="J361" i="3"/>
  <c r="J360" i="3"/>
  <c r="N358" i="3"/>
  <c r="N357" i="3"/>
  <c r="N356" i="3"/>
  <c r="N355" i="3"/>
  <c r="N354" i="3"/>
  <c r="L354" i="3"/>
  <c r="N353" i="3"/>
  <c r="L353" i="3"/>
  <c r="O353" i="3" s="1"/>
  <c r="N352" i="3"/>
  <c r="L352" i="3"/>
  <c r="N351" i="3"/>
  <c r="L351" i="3"/>
  <c r="O351" i="3" s="1"/>
  <c r="J350" i="3"/>
  <c r="I350" i="3"/>
  <c r="N349" i="3"/>
  <c r="L349" i="3"/>
  <c r="J349" i="3"/>
  <c r="I349" i="3"/>
  <c r="N347" i="3"/>
  <c r="L347" i="3"/>
  <c r="J346" i="3"/>
  <c r="I346" i="3"/>
  <c r="K346" i="3" s="1"/>
  <c r="J345" i="3"/>
  <c r="I345" i="3"/>
  <c r="J344" i="3"/>
  <c r="I344" i="3"/>
  <c r="K344" i="3" s="1"/>
  <c r="J343" i="3"/>
  <c r="I343" i="3"/>
  <c r="J342" i="3"/>
  <c r="I342" i="3"/>
  <c r="K342" i="3" s="1"/>
  <c r="J341" i="3"/>
  <c r="I341" i="3"/>
  <c r="J340" i="3"/>
  <c r="I340" i="3"/>
  <c r="J339" i="3"/>
  <c r="I339" i="3"/>
  <c r="K339" i="3" s="1"/>
  <c r="N337" i="3"/>
  <c r="L337" i="3"/>
  <c r="O337" i="3" s="1"/>
  <c r="L335" i="3"/>
  <c r="L334" i="3"/>
  <c r="N333" i="3"/>
  <c r="M333" i="3"/>
  <c r="M331" i="3" s="1"/>
  <c r="M329" i="3" s="1"/>
  <c r="O332" i="3"/>
  <c r="N330" i="3"/>
  <c r="M330" i="3"/>
  <c r="P330" i="3" s="1"/>
  <c r="L330" i="3"/>
  <c r="O330" i="3" s="1"/>
  <c r="J328" i="3"/>
  <c r="I328" i="3"/>
  <c r="J326" i="3"/>
  <c r="J325" i="3"/>
  <c r="J324" i="3"/>
  <c r="I324" i="3"/>
  <c r="J323" i="3"/>
  <c r="J322" i="3"/>
  <c r="J321" i="3"/>
  <c r="J320" i="3"/>
  <c r="N318" i="3"/>
  <c r="L318" i="3"/>
  <c r="O318" i="3" s="1"/>
  <c r="L316" i="3"/>
  <c r="L315" i="3"/>
  <c r="N314" i="3"/>
  <c r="M314" i="3"/>
  <c r="M312" i="3" s="1"/>
  <c r="O313" i="3"/>
  <c r="P311" i="3"/>
  <c r="O311" i="3"/>
  <c r="N311" i="3"/>
  <c r="M311" i="3"/>
  <c r="L311" i="3"/>
  <c r="J309" i="3"/>
  <c r="I309" i="3"/>
  <c r="J308" i="3"/>
  <c r="J307" i="3"/>
  <c r="J306" i="3"/>
  <c r="I306" i="3"/>
  <c r="J304" i="3"/>
  <c r="I304" i="3"/>
  <c r="J303" i="3"/>
  <c r="J302" i="3"/>
  <c r="J301" i="3"/>
  <c r="J300" i="3"/>
  <c r="N298" i="3"/>
  <c r="L298" i="3"/>
  <c r="L296" i="3"/>
  <c r="L295" i="3"/>
  <c r="N294" i="3"/>
  <c r="M294" i="3"/>
  <c r="O293" i="3"/>
  <c r="N291" i="3"/>
  <c r="M291" i="3"/>
  <c r="P291" i="3" s="1"/>
  <c r="L291" i="3"/>
  <c r="J289" i="3"/>
  <c r="I289" i="3"/>
  <c r="J287" i="3"/>
  <c r="J286" i="3"/>
  <c r="J285" i="3"/>
  <c r="I285" i="3"/>
  <c r="J284" i="3"/>
  <c r="J283" i="3"/>
  <c r="J282" i="3"/>
  <c r="J281" i="3"/>
  <c r="N279" i="3"/>
  <c r="L279" i="3"/>
  <c r="O279" i="3" s="1"/>
  <c r="L277" i="3"/>
  <c r="L276" i="3"/>
  <c r="N275" i="3"/>
  <c r="M275" i="3"/>
  <c r="O274" i="3"/>
  <c r="P272" i="3"/>
  <c r="O272" i="3"/>
  <c r="N272" i="3"/>
  <c r="M272" i="3"/>
  <c r="L272" i="3"/>
  <c r="J270" i="3"/>
  <c r="I270" i="3"/>
  <c r="J269" i="3"/>
  <c r="J268" i="3"/>
  <c r="J267" i="3"/>
  <c r="I267" i="3"/>
  <c r="J266" i="3"/>
  <c r="I266" i="3"/>
  <c r="J265" i="3"/>
  <c r="I265" i="3"/>
  <c r="J264" i="3"/>
  <c r="I264" i="3"/>
  <c r="J263" i="3"/>
  <c r="J262" i="3"/>
  <c r="J261" i="3"/>
  <c r="J260" i="3"/>
  <c r="N258" i="3"/>
  <c r="L258" i="3"/>
  <c r="O258" i="3" s="1"/>
  <c r="L256" i="3"/>
  <c r="L255" i="3"/>
  <c r="N254" i="3"/>
  <c r="M254" i="3"/>
  <c r="M252" i="3" s="1"/>
  <c r="O253" i="3"/>
  <c r="O251" i="3"/>
  <c r="N251" i="3"/>
  <c r="M251" i="3"/>
  <c r="L251" i="3"/>
  <c r="J249" i="3"/>
  <c r="I249" i="3"/>
  <c r="J246" i="3"/>
  <c r="J245" i="3"/>
  <c r="J244" i="3"/>
  <c r="I244" i="3"/>
  <c r="K244" i="3" s="1"/>
  <c r="J243" i="3"/>
  <c r="J242" i="3"/>
  <c r="J241" i="3"/>
  <c r="J240" i="3"/>
  <c r="J238" i="3"/>
  <c r="I238" i="3"/>
  <c r="K238" i="3" s="1"/>
  <c r="J237" i="3"/>
  <c r="J236" i="3"/>
  <c r="J235" i="3"/>
  <c r="I235" i="3"/>
  <c r="K235" i="3" s="1"/>
  <c r="J234" i="3"/>
  <c r="J233" i="3"/>
  <c r="J232" i="3"/>
  <c r="J231" i="3"/>
  <c r="J229" i="3"/>
  <c r="I229" i="3"/>
  <c r="K229" i="3" s="1"/>
  <c r="N228" i="3"/>
  <c r="L228" i="3"/>
  <c r="L226" i="3"/>
  <c r="L225" i="3"/>
  <c r="N224" i="3"/>
  <c r="M224" i="3"/>
  <c r="P224" i="3" s="1"/>
  <c r="O223" i="3"/>
  <c r="O221" i="3"/>
  <c r="N221" i="3"/>
  <c r="M221" i="3"/>
  <c r="P221" i="3" s="1"/>
  <c r="L221" i="3"/>
  <c r="J219" i="3"/>
  <c r="I219" i="3"/>
  <c r="K219" i="3" s="1"/>
  <c r="J218" i="3"/>
  <c r="J217" i="3"/>
  <c r="J216" i="3"/>
  <c r="I216" i="3"/>
  <c r="K216" i="3" s="1"/>
  <c r="J215" i="3"/>
  <c r="I215" i="3"/>
  <c r="K215" i="3" s="1"/>
  <c r="J213" i="3"/>
  <c r="I213" i="3"/>
  <c r="K213" i="3" s="1"/>
  <c r="J212" i="3"/>
  <c r="J211" i="3"/>
  <c r="J210" i="3"/>
  <c r="J209" i="3"/>
  <c r="J204" i="3"/>
  <c r="I204" i="3"/>
  <c r="K204" i="3" s="1"/>
  <c r="J203" i="3"/>
  <c r="J202" i="3"/>
  <c r="J201" i="3"/>
  <c r="I201" i="3"/>
  <c r="J200" i="3"/>
  <c r="I200" i="3"/>
  <c r="J199" i="3"/>
  <c r="I199" i="3"/>
  <c r="J197" i="3"/>
  <c r="J196" i="3"/>
  <c r="J195" i="3"/>
  <c r="J194" i="3"/>
  <c r="J189" i="3"/>
  <c r="I189" i="3"/>
  <c r="J188" i="3"/>
  <c r="J187" i="3"/>
  <c r="J186" i="3"/>
  <c r="I186" i="3"/>
  <c r="J185" i="3"/>
  <c r="I185" i="3"/>
  <c r="J184" i="3"/>
  <c r="J183" i="3"/>
  <c r="J182" i="3"/>
  <c r="J181" i="3"/>
  <c r="J176" i="3"/>
  <c r="I176" i="3"/>
  <c r="J175" i="3"/>
  <c r="J174" i="3"/>
  <c r="J173" i="3"/>
  <c r="I173" i="3"/>
  <c r="J172" i="3"/>
  <c r="J171" i="3"/>
  <c r="J170" i="3"/>
  <c r="J169" i="3"/>
  <c r="J164" i="3"/>
  <c r="I164" i="3"/>
  <c r="J163" i="3"/>
  <c r="J162" i="3"/>
  <c r="J161" i="3"/>
  <c r="J160" i="3"/>
  <c r="J159" i="3"/>
  <c r="J158" i="3"/>
  <c r="I158" i="3"/>
  <c r="J157" i="3"/>
  <c r="J156" i="3"/>
  <c r="J155" i="3"/>
  <c r="J154" i="3"/>
  <c r="J149" i="3"/>
  <c r="I149" i="3"/>
  <c r="N148" i="3"/>
  <c r="L148" i="3"/>
  <c r="O148" i="3" s="1"/>
  <c r="L146" i="3"/>
  <c r="L145" i="3"/>
  <c r="N144" i="3"/>
  <c r="M144" i="3"/>
  <c r="O143" i="3"/>
  <c r="O141" i="3"/>
  <c r="N141" i="3"/>
  <c r="M141" i="3"/>
  <c r="P141" i="3" s="1"/>
  <c r="L141" i="3"/>
  <c r="J138" i="3"/>
  <c r="I138" i="3"/>
  <c r="J135" i="3"/>
  <c r="J134" i="3"/>
  <c r="J133" i="3"/>
  <c r="I133" i="3"/>
  <c r="J132" i="3"/>
  <c r="I132" i="3"/>
  <c r="J131" i="3"/>
  <c r="J130" i="3"/>
  <c r="J129" i="3"/>
  <c r="J128" i="3"/>
  <c r="N126" i="3"/>
  <c r="L126" i="3"/>
  <c r="O126" i="3" s="1"/>
  <c r="L124" i="3"/>
  <c r="L123" i="3"/>
  <c r="N122" i="3"/>
  <c r="M122" i="3"/>
  <c r="O121" i="3"/>
  <c r="P119" i="3"/>
  <c r="N119" i="3"/>
  <c r="M119" i="3"/>
  <c r="L119" i="3"/>
  <c r="O119" i="3" s="1"/>
  <c r="J117" i="3"/>
  <c r="I117" i="3"/>
  <c r="J115" i="3"/>
  <c r="J114" i="3"/>
  <c r="J113" i="3"/>
  <c r="I113" i="3"/>
  <c r="J112" i="3"/>
  <c r="I112" i="3"/>
  <c r="J111" i="3"/>
  <c r="I111" i="3"/>
  <c r="J110" i="3"/>
  <c r="I110" i="3"/>
  <c r="J109" i="3"/>
  <c r="I109" i="3"/>
  <c r="J108" i="3"/>
  <c r="I108" i="3"/>
  <c r="J107" i="3"/>
  <c r="J106" i="3"/>
  <c r="J105" i="3"/>
  <c r="J104" i="3"/>
  <c r="N102" i="3"/>
  <c r="L102" i="3"/>
  <c r="M102" i="3" s="1"/>
  <c r="L100" i="3"/>
  <c r="L99" i="3"/>
  <c r="N98" i="3"/>
  <c r="M98" i="3"/>
  <c r="O97" i="3"/>
  <c r="O95" i="3"/>
  <c r="N95" i="3"/>
  <c r="M95" i="3"/>
  <c r="P95" i="3" s="1"/>
  <c r="L95" i="3"/>
  <c r="J93" i="3"/>
  <c r="I93" i="3"/>
  <c r="J92" i="3"/>
  <c r="I92" i="3"/>
  <c r="J90" i="3"/>
  <c r="J89" i="3"/>
  <c r="J88" i="3"/>
  <c r="I88" i="3"/>
  <c r="J87" i="3"/>
  <c r="I87" i="3"/>
  <c r="J86" i="3"/>
  <c r="I86" i="3"/>
  <c r="J85" i="3"/>
  <c r="I85" i="3"/>
  <c r="K85" i="3" s="1"/>
  <c r="J84" i="3"/>
  <c r="I84" i="3"/>
  <c r="K84" i="3" s="1"/>
  <c r="J83" i="3"/>
  <c r="I83" i="3"/>
  <c r="K83" i="3" s="1"/>
  <c r="J82" i="3"/>
  <c r="I82" i="3"/>
  <c r="K82" i="3" s="1"/>
  <c r="J81" i="3"/>
  <c r="I81" i="3"/>
  <c r="J80" i="3"/>
  <c r="I80" i="3"/>
  <c r="J79" i="3"/>
  <c r="J78" i="3"/>
  <c r="J77" i="3"/>
  <c r="J76" i="3"/>
  <c r="N74" i="3"/>
  <c r="L74" i="3"/>
  <c r="O74" i="3" s="1"/>
  <c r="L72" i="3"/>
  <c r="L71" i="3"/>
  <c r="N70" i="3"/>
  <c r="M70" i="3"/>
  <c r="M68" i="3" s="1"/>
  <c r="O69" i="3"/>
  <c r="P67" i="3"/>
  <c r="N67" i="3"/>
  <c r="M67" i="3"/>
  <c r="L67" i="3"/>
  <c r="O67" i="3" s="1"/>
  <c r="J65" i="3"/>
  <c r="I65" i="3"/>
  <c r="J64" i="3"/>
  <c r="I64" i="3"/>
  <c r="N61" i="3"/>
  <c r="L61" i="3"/>
  <c r="O61" i="3" s="1"/>
  <c r="L59" i="3"/>
  <c r="L58" i="3"/>
  <c r="N57" i="3"/>
  <c r="M57" i="3"/>
  <c r="O54" i="3"/>
  <c r="N54" i="3"/>
  <c r="M54" i="3"/>
  <c r="P54" i="3" s="1"/>
  <c r="L54" i="3"/>
  <c r="N49" i="3"/>
  <c r="L49" i="3"/>
  <c r="O49" i="3" s="1"/>
  <c r="L47" i="3"/>
  <c r="L46" i="3"/>
  <c r="N45" i="3"/>
  <c r="M45" i="3"/>
  <c r="M43" i="3" s="1"/>
  <c r="P42" i="3"/>
  <c r="N42" i="3"/>
  <c r="M42" i="3"/>
  <c r="L42" i="3"/>
  <c r="O42" i="3" s="1"/>
  <c r="P36" i="3"/>
  <c r="O36" i="3"/>
  <c r="P35" i="3"/>
  <c r="O35" i="3"/>
  <c r="M34" i="3"/>
  <c r="P34" i="3" s="1"/>
  <c r="P33" i="3"/>
  <c r="M33" i="3"/>
  <c r="M32" i="3"/>
  <c r="P32" i="3" s="1"/>
  <c r="P31" i="3"/>
  <c r="M31" i="3"/>
  <c r="M29" i="3" s="1"/>
  <c r="M30" i="3"/>
  <c r="P30" i="3" s="1"/>
  <c r="O25" i="3"/>
  <c r="N25" i="3"/>
  <c r="M25" i="3"/>
  <c r="P25" i="3" s="1"/>
  <c r="L25" i="3"/>
  <c r="P24" i="3"/>
  <c r="N24" i="3"/>
  <c r="M24" i="3"/>
  <c r="N23" i="3"/>
  <c r="M23" i="3"/>
  <c r="P23" i="3" s="1"/>
  <c r="O21" i="3"/>
  <c r="N21" i="3"/>
  <c r="M21" i="3"/>
  <c r="P21" i="3" s="1"/>
  <c r="L21" i="3"/>
  <c r="L19" i="3" s="1"/>
  <c r="N19" i="3"/>
  <c r="N15" i="3"/>
  <c r="L15" i="3"/>
  <c r="O15" i="3" s="1"/>
  <c r="M14" i="3"/>
  <c r="P14" i="3" s="1"/>
  <c r="J677" i="2"/>
  <c r="J676" i="2"/>
  <c r="J675" i="2"/>
  <c r="J674" i="2"/>
  <c r="J673" i="2"/>
  <c r="J672" i="2"/>
  <c r="N671" i="2"/>
  <c r="L671" i="2"/>
  <c r="I671" i="2"/>
  <c r="K671" i="2" s="1"/>
  <c r="J670" i="2"/>
  <c r="J669" i="2"/>
  <c r="N668" i="2"/>
  <c r="L668" i="2"/>
  <c r="O668" i="2" s="1"/>
  <c r="J668" i="2"/>
  <c r="I668" i="2"/>
  <c r="J667" i="2"/>
  <c r="J666" i="2"/>
  <c r="N665" i="2"/>
  <c r="L665" i="2"/>
  <c r="O665" i="2" s="1"/>
  <c r="J665" i="2"/>
  <c r="I665" i="2"/>
  <c r="K665" i="2" s="1"/>
  <c r="J663" i="2"/>
  <c r="I663" i="2"/>
  <c r="K663" i="2" s="1"/>
  <c r="J662" i="2"/>
  <c r="N661" i="2"/>
  <c r="L661" i="2"/>
  <c r="O661" i="2" s="1"/>
  <c r="J661" i="2"/>
  <c r="J660" i="2"/>
  <c r="J659" i="2"/>
  <c r="J658" i="2"/>
  <c r="J657" i="2"/>
  <c r="J656" i="2"/>
  <c r="J655" i="2"/>
  <c r="J653" i="2"/>
  <c r="J652" i="2"/>
  <c r="N651" i="2"/>
  <c r="L651" i="2"/>
  <c r="O651" i="2" s="1"/>
  <c r="I651" i="2"/>
  <c r="K651" i="2" s="1"/>
  <c r="N650" i="2"/>
  <c r="L650" i="2"/>
  <c r="O650" i="2" s="1"/>
  <c r="J650" i="2"/>
  <c r="I650" i="2"/>
  <c r="K650" i="2" s="1"/>
  <c r="N649" i="2"/>
  <c r="L649" i="2"/>
  <c r="O649" i="2" s="1"/>
  <c r="J649" i="2"/>
  <c r="I649" i="2"/>
  <c r="K649" i="2" s="1"/>
  <c r="N648" i="2"/>
  <c r="L648" i="2"/>
  <c r="J648" i="2"/>
  <c r="I648" i="2"/>
  <c r="K648" i="2" s="1"/>
  <c r="J647" i="2"/>
  <c r="J646" i="2"/>
  <c r="O639" i="2"/>
  <c r="O637" i="2"/>
  <c r="J635" i="2"/>
  <c r="I635" i="2"/>
  <c r="J634" i="2"/>
  <c r="I634" i="2"/>
  <c r="J633" i="2"/>
  <c r="I633" i="2"/>
  <c r="K633" i="2" s="1"/>
  <c r="J632" i="2"/>
  <c r="I632" i="2"/>
  <c r="K632" i="2" s="1"/>
  <c r="J631" i="2"/>
  <c r="I631" i="2"/>
  <c r="J630" i="2"/>
  <c r="I630" i="2"/>
  <c r="J629" i="2"/>
  <c r="I629" i="2"/>
  <c r="J628" i="2"/>
  <c r="I628" i="2"/>
  <c r="J626" i="2"/>
  <c r="I626" i="2"/>
  <c r="J625" i="2"/>
  <c r="I625" i="2"/>
  <c r="J624" i="2"/>
  <c r="I624" i="2"/>
  <c r="J623" i="2"/>
  <c r="I623" i="2"/>
  <c r="J622" i="2"/>
  <c r="I622" i="2"/>
  <c r="J621" i="2"/>
  <c r="I621" i="2"/>
  <c r="J620" i="2"/>
  <c r="I620" i="2"/>
  <c r="K626" i="2" s="1"/>
  <c r="J619" i="2"/>
  <c r="I619" i="2"/>
  <c r="J618" i="2"/>
  <c r="I618" i="2"/>
  <c r="J617" i="2"/>
  <c r="I617" i="2"/>
  <c r="J616" i="2"/>
  <c r="I616" i="2"/>
  <c r="J615" i="2"/>
  <c r="I615" i="2"/>
  <c r="J614" i="2"/>
  <c r="I614" i="2"/>
  <c r="J613" i="2"/>
  <c r="I613" i="2"/>
  <c r="J612" i="2"/>
  <c r="I612" i="2"/>
  <c r="J611" i="2"/>
  <c r="I611" i="2"/>
  <c r="J610" i="2"/>
  <c r="J609" i="2"/>
  <c r="J608" i="2"/>
  <c r="J607" i="2"/>
  <c r="N605" i="2"/>
  <c r="N604" i="2"/>
  <c r="N603" i="2"/>
  <c r="N602" i="2"/>
  <c r="N601" i="2"/>
  <c r="L601" i="2"/>
  <c r="N600" i="2"/>
  <c r="L600" i="2"/>
  <c r="O600" i="2" s="1"/>
  <c r="N599" i="2"/>
  <c r="L599" i="2"/>
  <c r="N598" i="2"/>
  <c r="L598" i="2"/>
  <c r="O598" i="2" s="1"/>
  <c r="N597" i="2"/>
  <c r="L597" i="2"/>
  <c r="J597" i="2"/>
  <c r="I597" i="2"/>
  <c r="J596" i="2"/>
  <c r="I596" i="2"/>
  <c r="K596" i="2" s="1"/>
  <c r="J595" i="2"/>
  <c r="I595" i="2"/>
  <c r="K595" i="2" s="1"/>
  <c r="J594" i="2"/>
  <c r="I594" i="2"/>
  <c r="K594" i="2" s="1"/>
  <c r="J593" i="2"/>
  <c r="I593" i="2"/>
  <c r="K593" i="2" s="1"/>
  <c r="J592" i="2"/>
  <c r="I592" i="2"/>
  <c r="K592" i="2" s="1"/>
  <c r="J591" i="2"/>
  <c r="I591" i="2"/>
  <c r="K591" i="2" s="1"/>
  <c r="J590" i="2"/>
  <c r="I590" i="2"/>
  <c r="K590" i="2" s="1"/>
  <c r="J589" i="2"/>
  <c r="I589" i="2"/>
  <c r="K589" i="2" s="1"/>
  <c r="N588" i="2"/>
  <c r="N587" i="2"/>
  <c r="N586" i="2"/>
  <c r="N585" i="2"/>
  <c r="N584" i="2"/>
  <c r="L584" i="2"/>
  <c r="N583" i="2"/>
  <c r="L583" i="2"/>
  <c r="O583" i="2" s="1"/>
  <c r="N582" i="2"/>
  <c r="L582" i="2"/>
  <c r="N581" i="2"/>
  <c r="L581" i="2"/>
  <c r="O581" i="2" s="1"/>
  <c r="N580" i="2"/>
  <c r="L580" i="2"/>
  <c r="J580" i="2"/>
  <c r="I580" i="2"/>
  <c r="K580" i="2" s="1"/>
  <c r="J579" i="2"/>
  <c r="I579" i="2"/>
  <c r="K579" i="2" s="1"/>
  <c r="J578" i="2"/>
  <c r="I578" i="2"/>
  <c r="K578" i="2" s="1"/>
  <c r="J577" i="2"/>
  <c r="I577" i="2"/>
  <c r="K577" i="2" s="1"/>
  <c r="J576" i="2"/>
  <c r="I576" i="2"/>
  <c r="K576" i="2" s="1"/>
  <c r="J575" i="2"/>
  <c r="I575" i="2"/>
  <c r="K575" i="2" s="1"/>
  <c r="J573" i="2"/>
  <c r="I573" i="2"/>
  <c r="N572" i="2"/>
  <c r="N571" i="2"/>
  <c r="N570" i="2"/>
  <c r="N569" i="2"/>
  <c r="N568" i="2"/>
  <c r="L568" i="2"/>
  <c r="O568" i="2" s="1"/>
  <c r="N567" i="2"/>
  <c r="L567" i="2"/>
  <c r="O567" i="2" s="1"/>
  <c r="N566" i="2"/>
  <c r="L566" i="2"/>
  <c r="N565" i="2"/>
  <c r="L565" i="2"/>
  <c r="O565" i="2" s="1"/>
  <c r="N564" i="2"/>
  <c r="L564" i="2"/>
  <c r="J564" i="2"/>
  <c r="I564" i="2"/>
  <c r="J561" i="2"/>
  <c r="I561" i="2"/>
  <c r="K561" i="2" s="1"/>
  <c r="J560" i="2"/>
  <c r="I560" i="2"/>
  <c r="K560" i="2" s="1"/>
  <c r="N559" i="2"/>
  <c r="N558" i="2"/>
  <c r="N557" i="2"/>
  <c r="N556" i="2"/>
  <c r="N555" i="2"/>
  <c r="L555" i="2"/>
  <c r="O555" i="2" s="1"/>
  <c r="N554" i="2"/>
  <c r="L554" i="2"/>
  <c r="O554" i="2" s="1"/>
  <c r="N553" i="2"/>
  <c r="L553" i="2"/>
  <c r="O553" i="2" s="1"/>
  <c r="N552" i="2"/>
  <c r="L552" i="2"/>
  <c r="O552" i="2" s="1"/>
  <c r="N551" i="2"/>
  <c r="L551" i="2"/>
  <c r="O551" i="2" s="1"/>
  <c r="J551" i="2"/>
  <c r="I551" i="2"/>
  <c r="K551" i="2" s="1"/>
  <c r="J550" i="2"/>
  <c r="J549" i="2"/>
  <c r="J548" i="2"/>
  <c r="I548" i="2"/>
  <c r="K548" i="2" s="1"/>
  <c r="J547" i="2"/>
  <c r="I547" i="2"/>
  <c r="J546" i="2"/>
  <c r="J545" i="2"/>
  <c r="J544" i="2"/>
  <c r="J543" i="2"/>
  <c r="N541" i="2"/>
  <c r="N540" i="2"/>
  <c r="N539" i="2"/>
  <c r="N538" i="2"/>
  <c r="N537" i="2"/>
  <c r="L537" i="2"/>
  <c r="N536" i="2"/>
  <c r="L536" i="2"/>
  <c r="O536" i="2" s="1"/>
  <c r="N535" i="2"/>
  <c r="L535" i="2"/>
  <c r="N534" i="2"/>
  <c r="L534" i="2"/>
  <c r="N533" i="2"/>
  <c r="L533" i="2"/>
  <c r="J533" i="2"/>
  <c r="I533" i="2"/>
  <c r="J532" i="2"/>
  <c r="I532" i="2"/>
  <c r="J531" i="2"/>
  <c r="I531" i="2"/>
  <c r="J530" i="2"/>
  <c r="I530" i="2"/>
  <c r="J529" i="2"/>
  <c r="I529" i="2"/>
  <c r="J528" i="2"/>
  <c r="I528" i="2"/>
  <c r="J527" i="2"/>
  <c r="I527" i="2"/>
  <c r="J526" i="2"/>
  <c r="I526" i="2"/>
  <c r="J525" i="2"/>
  <c r="I525" i="2"/>
  <c r="J524" i="2"/>
  <c r="I524" i="2"/>
  <c r="J523" i="2"/>
  <c r="I523" i="2"/>
  <c r="J522" i="2"/>
  <c r="I522" i="2"/>
  <c r="J521" i="2"/>
  <c r="I521" i="2"/>
  <c r="J520" i="2"/>
  <c r="I520" i="2"/>
  <c r="J519" i="2"/>
  <c r="I519" i="2"/>
  <c r="J518" i="2"/>
  <c r="I518" i="2"/>
  <c r="J517" i="2"/>
  <c r="I517" i="2"/>
  <c r="J516" i="2"/>
  <c r="I516" i="2"/>
  <c r="J515" i="2"/>
  <c r="I515" i="2"/>
  <c r="K515" i="2" s="1"/>
  <c r="J514" i="2"/>
  <c r="I514" i="2"/>
  <c r="K514" i="2" s="1"/>
  <c r="J513" i="2"/>
  <c r="I513" i="2"/>
  <c r="K513" i="2" s="1"/>
  <c r="J512" i="2"/>
  <c r="I512" i="2"/>
  <c r="K512" i="2" s="1"/>
  <c r="J511" i="2"/>
  <c r="I511" i="2"/>
  <c r="K511" i="2" s="1"/>
  <c r="J510" i="2"/>
  <c r="I510" i="2"/>
  <c r="K510" i="2" s="1"/>
  <c r="J509" i="2"/>
  <c r="I509" i="2"/>
  <c r="K509" i="2" s="1"/>
  <c r="J508" i="2"/>
  <c r="I508" i="2"/>
  <c r="K508" i="2" s="1"/>
  <c r="J507" i="2"/>
  <c r="I507" i="2"/>
  <c r="K507" i="2" s="1"/>
  <c r="J506" i="2"/>
  <c r="I506" i="2"/>
  <c r="K506" i="2" s="1"/>
  <c r="J505" i="2"/>
  <c r="I505" i="2"/>
  <c r="K505" i="2" s="1"/>
  <c r="J504" i="2"/>
  <c r="I504" i="2"/>
  <c r="K504" i="2" s="1"/>
  <c r="J503" i="2"/>
  <c r="I503" i="2"/>
  <c r="K503" i="2" s="1"/>
  <c r="J502" i="2"/>
  <c r="I502" i="2"/>
  <c r="K502" i="2" s="1"/>
  <c r="J501" i="2"/>
  <c r="I501" i="2"/>
  <c r="K501" i="2" s="1"/>
  <c r="J500" i="2"/>
  <c r="I500" i="2"/>
  <c r="K500" i="2" s="1"/>
  <c r="J499" i="2"/>
  <c r="I499" i="2"/>
  <c r="J498" i="2"/>
  <c r="I498" i="2"/>
  <c r="J497" i="2"/>
  <c r="I497" i="2"/>
  <c r="J496" i="2"/>
  <c r="I496" i="2"/>
  <c r="K496" i="2" s="1"/>
  <c r="J495" i="2"/>
  <c r="I495" i="2"/>
  <c r="K495" i="2" s="1"/>
  <c r="J494" i="2"/>
  <c r="I494" i="2"/>
  <c r="K494" i="2" s="1"/>
  <c r="J493" i="2"/>
  <c r="I493" i="2"/>
  <c r="K493" i="2" s="1"/>
  <c r="J492" i="2"/>
  <c r="I492" i="2"/>
  <c r="K492" i="2" s="1"/>
  <c r="J491" i="2"/>
  <c r="I491" i="2"/>
  <c r="K491" i="2" s="1"/>
  <c r="J490" i="2"/>
  <c r="I490" i="2"/>
  <c r="K490" i="2" s="1"/>
  <c r="J489" i="2"/>
  <c r="I489" i="2"/>
  <c r="K489" i="2" s="1"/>
  <c r="J488" i="2"/>
  <c r="I488" i="2"/>
  <c r="K488" i="2" s="1"/>
  <c r="J487" i="2"/>
  <c r="I487" i="2"/>
  <c r="K487" i="2" s="1"/>
  <c r="J486" i="2"/>
  <c r="I486" i="2"/>
  <c r="J485" i="2"/>
  <c r="I485" i="2"/>
  <c r="K485" i="2" s="1"/>
  <c r="J484" i="2"/>
  <c r="I484" i="2"/>
  <c r="K484" i="2" s="1"/>
  <c r="J483" i="2"/>
  <c r="I483" i="2"/>
  <c r="J482" i="2"/>
  <c r="I482" i="2"/>
  <c r="J481" i="2"/>
  <c r="I481" i="2"/>
  <c r="J480" i="2"/>
  <c r="I480" i="2"/>
  <c r="J479" i="2"/>
  <c r="I479" i="2"/>
  <c r="K479" i="2" s="1"/>
  <c r="J478" i="2"/>
  <c r="I478" i="2"/>
  <c r="J477" i="2"/>
  <c r="I477" i="2"/>
  <c r="K477" i="2" s="1"/>
  <c r="J476" i="2"/>
  <c r="I476" i="2"/>
  <c r="K476" i="2" s="1"/>
  <c r="J475" i="2"/>
  <c r="I475" i="2"/>
  <c r="K475" i="2" s="1"/>
  <c r="J474" i="2"/>
  <c r="I474" i="2"/>
  <c r="J473" i="2"/>
  <c r="I473" i="2"/>
  <c r="J472" i="2"/>
  <c r="I472" i="2"/>
  <c r="K472" i="2" s="1"/>
  <c r="J471" i="2"/>
  <c r="I471" i="2"/>
  <c r="K471" i="2" s="1"/>
  <c r="J470" i="2"/>
  <c r="I470" i="2"/>
  <c r="K470" i="2" s="1"/>
  <c r="J469" i="2"/>
  <c r="I469" i="2"/>
  <c r="K469" i="2" s="1"/>
  <c r="J468" i="2"/>
  <c r="I468" i="2"/>
  <c r="K468" i="2" s="1"/>
  <c r="J467" i="2"/>
  <c r="I467" i="2"/>
  <c r="K467" i="2" s="1"/>
  <c r="J466" i="2"/>
  <c r="I466" i="2"/>
  <c r="J465" i="2"/>
  <c r="I465" i="2"/>
  <c r="J464" i="2"/>
  <c r="I464" i="2"/>
  <c r="N463" i="2"/>
  <c r="N462" i="2"/>
  <c r="N461" i="2"/>
  <c r="N460" i="2"/>
  <c r="N459" i="2"/>
  <c r="L459" i="2"/>
  <c r="N458" i="2"/>
  <c r="L458" i="2"/>
  <c r="O458" i="2" s="1"/>
  <c r="N457" i="2"/>
  <c r="L457" i="2"/>
  <c r="N456" i="2"/>
  <c r="L456" i="2"/>
  <c r="O456" i="2" s="1"/>
  <c r="N455" i="2"/>
  <c r="L455" i="2"/>
  <c r="J455" i="2"/>
  <c r="I455" i="2"/>
  <c r="J454" i="2"/>
  <c r="J453" i="2"/>
  <c r="J452" i="2"/>
  <c r="I452" i="2"/>
  <c r="K452" i="2" s="1"/>
  <c r="J451" i="2"/>
  <c r="I451" i="2"/>
  <c r="K451" i="2" s="1"/>
  <c r="J450" i="2"/>
  <c r="I450" i="2"/>
  <c r="J449" i="2"/>
  <c r="I449" i="2"/>
  <c r="J448" i="2"/>
  <c r="J447" i="2"/>
  <c r="J446" i="2"/>
  <c r="J445" i="2"/>
  <c r="N443" i="2"/>
  <c r="N442" i="2"/>
  <c r="N441" i="2"/>
  <c r="N440" i="2"/>
  <c r="N439" i="2"/>
  <c r="L439" i="2"/>
  <c r="N438" i="2"/>
  <c r="L438" i="2"/>
  <c r="O438" i="2" s="1"/>
  <c r="N437" i="2"/>
  <c r="L437" i="2"/>
  <c r="N436" i="2"/>
  <c r="L436" i="2"/>
  <c r="O436" i="2" s="1"/>
  <c r="N435" i="2"/>
  <c r="L435" i="2"/>
  <c r="J435" i="2"/>
  <c r="I435" i="2"/>
  <c r="J434" i="2"/>
  <c r="J433" i="2"/>
  <c r="J432" i="2"/>
  <c r="I432" i="2"/>
  <c r="J431" i="2"/>
  <c r="I431" i="2"/>
  <c r="J430" i="2"/>
  <c r="I430" i="2"/>
  <c r="J429" i="2"/>
  <c r="I429" i="2"/>
  <c r="J428" i="2"/>
  <c r="I428" i="2"/>
  <c r="J427" i="2"/>
  <c r="I427" i="2"/>
  <c r="J426" i="2"/>
  <c r="I426" i="2"/>
  <c r="J425" i="2"/>
  <c r="I425" i="2"/>
  <c r="J424" i="2"/>
  <c r="I424" i="2"/>
  <c r="J423" i="2"/>
  <c r="I423" i="2"/>
  <c r="J422" i="2"/>
  <c r="I422" i="2"/>
  <c r="J421" i="2"/>
  <c r="I421" i="2"/>
  <c r="J420" i="2"/>
  <c r="I420" i="2"/>
  <c r="J419" i="2"/>
  <c r="I419" i="2"/>
  <c r="J418" i="2"/>
  <c r="I418" i="2"/>
  <c r="J417" i="2"/>
  <c r="I417" i="2"/>
  <c r="J416" i="2"/>
  <c r="I416" i="2"/>
  <c r="J415" i="2"/>
  <c r="J414" i="2"/>
  <c r="J413" i="2"/>
  <c r="J412" i="2"/>
  <c r="N410" i="2"/>
  <c r="N409" i="2"/>
  <c r="N408" i="2"/>
  <c r="N407" i="2"/>
  <c r="N406" i="2"/>
  <c r="L406" i="2"/>
  <c r="N405" i="2"/>
  <c r="L405" i="2"/>
  <c r="O405" i="2" s="1"/>
  <c r="N404" i="2"/>
  <c r="L404" i="2"/>
  <c r="N403" i="2"/>
  <c r="L403" i="2"/>
  <c r="O403" i="2" s="1"/>
  <c r="J402" i="2"/>
  <c r="I402" i="2"/>
  <c r="N401" i="2"/>
  <c r="L401" i="2"/>
  <c r="J401" i="2"/>
  <c r="I401" i="2"/>
  <c r="J400" i="2"/>
  <c r="J399" i="2"/>
  <c r="J398" i="2"/>
  <c r="I398" i="2"/>
  <c r="J397" i="2"/>
  <c r="I397" i="2"/>
  <c r="J396" i="2"/>
  <c r="I396" i="2"/>
  <c r="J394" i="2"/>
  <c r="J393" i="2"/>
  <c r="J392" i="2"/>
  <c r="J391" i="2"/>
  <c r="N389" i="2"/>
  <c r="N388" i="2"/>
  <c r="N387" i="2"/>
  <c r="N386" i="2"/>
  <c r="N385" i="2"/>
  <c r="L385" i="2"/>
  <c r="N384" i="2"/>
  <c r="L384" i="2"/>
  <c r="O384" i="2" s="1"/>
  <c r="N383" i="2"/>
  <c r="L383" i="2"/>
  <c r="N382" i="2"/>
  <c r="L382" i="2"/>
  <c r="O382" i="2" s="1"/>
  <c r="J381" i="2"/>
  <c r="I381" i="2"/>
  <c r="N380" i="2"/>
  <c r="L380" i="2"/>
  <c r="J380" i="2"/>
  <c r="I380" i="2"/>
  <c r="J379" i="2"/>
  <c r="J378" i="2"/>
  <c r="J377" i="2"/>
  <c r="I377" i="2"/>
  <c r="K377" i="2" s="1"/>
  <c r="J376" i="2"/>
  <c r="I376" i="2"/>
  <c r="K376" i="2" s="1"/>
  <c r="J375" i="2"/>
  <c r="I375" i="2"/>
  <c r="K375" i="2" s="1"/>
  <c r="J374" i="2"/>
  <c r="I374" i="2"/>
  <c r="J373" i="2"/>
  <c r="I373" i="2"/>
  <c r="K373" i="2" s="1"/>
  <c r="J372" i="2"/>
  <c r="I372" i="2"/>
  <c r="K372" i="2" s="1"/>
  <c r="J371" i="2"/>
  <c r="I371" i="2"/>
  <c r="K371" i="2" s="1"/>
  <c r="J370" i="2"/>
  <c r="I370" i="2"/>
  <c r="K370" i="2" s="1"/>
  <c r="J369" i="2"/>
  <c r="I369" i="2"/>
  <c r="J368" i="2"/>
  <c r="I368" i="2"/>
  <c r="J367" i="2"/>
  <c r="J366" i="2"/>
  <c r="J365" i="2"/>
  <c r="I365" i="2"/>
  <c r="K365" i="2" s="1"/>
  <c r="J364" i="2"/>
  <c r="J363" i="2"/>
  <c r="J362" i="2"/>
  <c r="J361" i="2"/>
  <c r="J360" i="2"/>
  <c r="N358" i="2"/>
  <c r="N357" i="2"/>
  <c r="N356" i="2"/>
  <c r="N355" i="2"/>
  <c r="N354" i="2"/>
  <c r="L354" i="2"/>
  <c r="N353" i="2"/>
  <c r="L353" i="2"/>
  <c r="N352" i="2"/>
  <c r="L352" i="2"/>
  <c r="O352" i="2" s="1"/>
  <c r="N351" i="2"/>
  <c r="L351" i="2"/>
  <c r="O351" i="2" s="1"/>
  <c r="J350" i="2"/>
  <c r="I350" i="2"/>
  <c r="N349" i="2"/>
  <c r="L349" i="2"/>
  <c r="O349" i="2" s="1"/>
  <c r="J349" i="2"/>
  <c r="I349" i="2"/>
  <c r="K349" i="2" s="1"/>
  <c r="N347" i="2"/>
  <c r="L347" i="2"/>
  <c r="J346" i="2"/>
  <c r="I346" i="2"/>
  <c r="K346" i="2" s="1"/>
  <c r="J345" i="2"/>
  <c r="I345" i="2"/>
  <c r="J344" i="2"/>
  <c r="I344" i="2"/>
  <c r="K344" i="2" s="1"/>
  <c r="J343" i="2"/>
  <c r="I343" i="2"/>
  <c r="J342" i="2"/>
  <c r="I342" i="2"/>
  <c r="K342" i="2" s="1"/>
  <c r="J341" i="2"/>
  <c r="I341" i="2"/>
  <c r="J340" i="2"/>
  <c r="I340" i="2"/>
  <c r="J339" i="2"/>
  <c r="I339" i="2"/>
  <c r="K339" i="2" s="1"/>
  <c r="N337" i="2"/>
  <c r="L337" i="2"/>
  <c r="L335" i="2"/>
  <c r="L334" i="2"/>
  <c r="N333" i="2"/>
  <c r="M333" i="2"/>
  <c r="O332" i="2"/>
  <c r="P330" i="2"/>
  <c r="O330" i="2"/>
  <c r="N330" i="2"/>
  <c r="M330" i="2"/>
  <c r="L330" i="2"/>
  <c r="J328" i="2"/>
  <c r="I328" i="2"/>
  <c r="J326" i="2"/>
  <c r="J325" i="2"/>
  <c r="J324" i="2"/>
  <c r="I324" i="2"/>
  <c r="J323" i="2"/>
  <c r="J322" i="2"/>
  <c r="J321" i="2"/>
  <c r="J320" i="2"/>
  <c r="N318" i="2"/>
  <c r="L318" i="2"/>
  <c r="M318" i="2" s="1"/>
  <c r="L316" i="2"/>
  <c r="L315" i="2"/>
  <c r="N314" i="2"/>
  <c r="M314" i="2"/>
  <c r="O313" i="2"/>
  <c r="O311" i="2"/>
  <c r="N311" i="2"/>
  <c r="M311" i="2"/>
  <c r="L311" i="2"/>
  <c r="J309" i="2"/>
  <c r="I309" i="2"/>
  <c r="J308" i="2"/>
  <c r="J307" i="2"/>
  <c r="J306" i="2"/>
  <c r="I306" i="2"/>
  <c r="J304" i="2"/>
  <c r="I304" i="2"/>
  <c r="J303" i="2"/>
  <c r="J302" i="2"/>
  <c r="J301" i="2"/>
  <c r="J300" i="2"/>
  <c r="N298" i="2"/>
  <c r="L298" i="2"/>
  <c r="M298" i="2" s="1"/>
  <c r="L296" i="2"/>
  <c r="L295" i="2"/>
  <c r="N294" i="2"/>
  <c r="M294" i="2"/>
  <c r="O293" i="2"/>
  <c r="P291" i="2"/>
  <c r="O291" i="2"/>
  <c r="N291" i="2"/>
  <c r="M291" i="2"/>
  <c r="L291" i="2"/>
  <c r="J289" i="2"/>
  <c r="I289" i="2"/>
  <c r="J287" i="2"/>
  <c r="J286" i="2"/>
  <c r="J285" i="2"/>
  <c r="I285" i="2"/>
  <c r="J284" i="2"/>
  <c r="J283" i="2"/>
  <c r="J282" i="2"/>
  <c r="J281" i="2"/>
  <c r="N279" i="2"/>
  <c r="L279" i="2"/>
  <c r="L277" i="2"/>
  <c r="L276" i="2"/>
  <c r="N275" i="2"/>
  <c r="M275" i="2"/>
  <c r="P275" i="2" s="1"/>
  <c r="O274" i="2"/>
  <c r="P272" i="2"/>
  <c r="N272" i="2"/>
  <c r="M272" i="2"/>
  <c r="L272" i="2"/>
  <c r="O272" i="2" s="1"/>
  <c r="J270" i="2"/>
  <c r="I270" i="2"/>
  <c r="J269" i="2"/>
  <c r="J268" i="2"/>
  <c r="J267" i="2"/>
  <c r="I267" i="2"/>
  <c r="K267" i="2" s="1"/>
  <c r="J266" i="2"/>
  <c r="I266" i="2"/>
  <c r="K266" i="2" s="1"/>
  <c r="J265" i="2"/>
  <c r="I265" i="2"/>
  <c r="K265" i="2" s="1"/>
  <c r="J264" i="2"/>
  <c r="I264" i="2"/>
  <c r="K264" i="2" s="1"/>
  <c r="J263" i="2"/>
  <c r="J262" i="2"/>
  <c r="J261" i="2"/>
  <c r="J260" i="2"/>
  <c r="N258" i="2"/>
  <c r="L258" i="2"/>
  <c r="L256" i="2"/>
  <c r="L255" i="2"/>
  <c r="N254" i="2"/>
  <c r="M254" i="2"/>
  <c r="M252" i="2" s="1"/>
  <c r="M250" i="2" s="1"/>
  <c r="O253" i="2"/>
  <c r="P251" i="2"/>
  <c r="O251" i="2"/>
  <c r="N251" i="2"/>
  <c r="M251" i="2"/>
  <c r="L251" i="2"/>
  <c r="J249" i="2"/>
  <c r="I249" i="2"/>
  <c r="J246" i="2"/>
  <c r="J245" i="2"/>
  <c r="J244" i="2"/>
  <c r="I244" i="2"/>
  <c r="K244" i="2" s="1"/>
  <c r="J243" i="2"/>
  <c r="J242" i="2"/>
  <c r="J241" i="2"/>
  <c r="J240" i="2"/>
  <c r="J238" i="2"/>
  <c r="I238" i="2"/>
  <c r="K238" i="2" s="1"/>
  <c r="J237" i="2"/>
  <c r="J236" i="2"/>
  <c r="J235" i="2"/>
  <c r="I235" i="2"/>
  <c r="J234" i="2"/>
  <c r="J233" i="2"/>
  <c r="J232" i="2"/>
  <c r="J231" i="2"/>
  <c r="J229" i="2"/>
  <c r="I229" i="2"/>
  <c r="N228" i="2"/>
  <c r="L228" i="2"/>
  <c r="O228" i="2" s="1"/>
  <c r="L226" i="2"/>
  <c r="L225" i="2"/>
  <c r="N224" i="2"/>
  <c r="M224" i="2"/>
  <c r="O223" i="2"/>
  <c r="P221" i="2"/>
  <c r="N221" i="2"/>
  <c r="M221" i="2"/>
  <c r="L221" i="2"/>
  <c r="O221" i="2" s="1"/>
  <c r="J219" i="2"/>
  <c r="I219" i="2"/>
  <c r="J218" i="2"/>
  <c r="J217" i="2"/>
  <c r="J216" i="2"/>
  <c r="I216" i="2"/>
  <c r="K216" i="2" s="1"/>
  <c r="J215" i="2"/>
  <c r="I215" i="2"/>
  <c r="K215" i="2" s="1"/>
  <c r="J213" i="2"/>
  <c r="I213" i="2"/>
  <c r="K213" i="2" s="1"/>
  <c r="J212" i="2"/>
  <c r="J211" i="2"/>
  <c r="J210" i="2"/>
  <c r="J209" i="2"/>
  <c r="J204" i="2"/>
  <c r="I204" i="2"/>
  <c r="K204" i="2" s="1"/>
  <c r="J203" i="2"/>
  <c r="J202" i="2"/>
  <c r="J201" i="2"/>
  <c r="I201" i="2"/>
  <c r="J200" i="2"/>
  <c r="I200" i="2"/>
  <c r="J199" i="2"/>
  <c r="I199" i="2"/>
  <c r="J197" i="2"/>
  <c r="J196" i="2"/>
  <c r="J195" i="2"/>
  <c r="J194" i="2"/>
  <c r="J189" i="2"/>
  <c r="I189" i="2"/>
  <c r="J188" i="2"/>
  <c r="J187" i="2"/>
  <c r="J186" i="2"/>
  <c r="I186" i="2"/>
  <c r="K186" i="2" s="1"/>
  <c r="J185" i="2"/>
  <c r="I185" i="2"/>
  <c r="K185" i="2" s="1"/>
  <c r="J184" i="2"/>
  <c r="J183" i="2"/>
  <c r="J182" i="2"/>
  <c r="J181" i="2"/>
  <c r="J176" i="2"/>
  <c r="I176" i="2"/>
  <c r="K176" i="2" s="1"/>
  <c r="J175" i="2"/>
  <c r="J174" i="2"/>
  <c r="J173" i="2"/>
  <c r="I173" i="2"/>
  <c r="J172" i="2"/>
  <c r="J171" i="2"/>
  <c r="J170" i="2"/>
  <c r="J169" i="2"/>
  <c r="J164" i="2"/>
  <c r="I164" i="2"/>
  <c r="J163" i="2"/>
  <c r="J162" i="2"/>
  <c r="J161" i="2"/>
  <c r="J160" i="2"/>
  <c r="J159" i="2"/>
  <c r="J158" i="2"/>
  <c r="I158" i="2"/>
  <c r="J157" i="2"/>
  <c r="J156" i="2"/>
  <c r="J155" i="2"/>
  <c r="J154" i="2"/>
  <c r="J149" i="2"/>
  <c r="I149" i="2"/>
  <c r="N148" i="2"/>
  <c r="L148" i="2"/>
  <c r="O148" i="2" s="1"/>
  <c r="L146" i="2"/>
  <c r="L145" i="2"/>
  <c r="N144" i="2"/>
  <c r="M144" i="2"/>
  <c r="M142" i="2" s="1"/>
  <c r="O143" i="2"/>
  <c r="N141" i="2"/>
  <c r="M141" i="2"/>
  <c r="L141" i="2"/>
  <c r="O141" i="2" s="1"/>
  <c r="J138" i="2"/>
  <c r="I138" i="2"/>
  <c r="J135" i="2"/>
  <c r="J134" i="2"/>
  <c r="J133" i="2"/>
  <c r="I133" i="2"/>
  <c r="K133" i="2" s="1"/>
  <c r="J132" i="2"/>
  <c r="I132" i="2"/>
  <c r="K132" i="2" s="1"/>
  <c r="J131" i="2"/>
  <c r="J130" i="2"/>
  <c r="J129" i="2"/>
  <c r="J128" i="2"/>
  <c r="N126" i="2"/>
  <c r="L126" i="2"/>
  <c r="O126" i="2" s="1"/>
  <c r="L124" i="2"/>
  <c r="L123" i="2"/>
  <c r="N122" i="2"/>
  <c r="M122" i="2"/>
  <c r="O121" i="2"/>
  <c r="N119" i="2"/>
  <c r="M119" i="2"/>
  <c r="P119" i="2" s="1"/>
  <c r="L119" i="2"/>
  <c r="J117" i="2"/>
  <c r="I117" i="2"/>
  <c r="K117" i="2" s="1"/>
  <c r="J115" i="2"/>
  <c r="J114" i="2"/>
  <c r="J113" i="2"/>
  <c r="I113" i="2"/>
  <c r="K113" i="2" s="1"/>
  <c r="J112" i="2"/>
  <c r="I112" i="2"/>
  <c r="K112" i="2" s="1"/>
  <c r="J111" i="2"/>
  <c r="I111" i="2"/>
  <c r="K111" i="2" s="1"/>
  <c r="J110" i="2"/>
  <c r="I110" i="2"/>
  <c r="J109" i="2"/>
  <c r="I109" i="2"/>
  <c r="K109" i="2" s="1"/>
  <c r="J108" i="2"/>
  <c r="I108" i="2"/>
  <c r="K108" i="2" s="1"/>
  <c r="J107" i="2"/>
  <c r="J106" i="2"/>
  <c r="J105" i="2"/>
  <c r="J104" i="2"/>
  <c r="N102" i="2"/>
  <c r="L102" i="2"/>
  <c r="O102" i="2" s="1"/>
  <c r="L100" i="2"/>
  <c r="L99" i="2"/>
  <c r="N98" i="2"/>
  <c r="M98" i="2"/>
  <c r="P98" i="2" s="1"/>
  <c r="O97" i="2"/>
  <c r="N95" i="2"/>
  <c r="M95" i="2"/>
  <c r="P95" i="2" s="1"/>
  <c r="L95" i="2"/>
  <c r="O95" i="2" s="1"/>
  <c r="J93" i="2"/>
  <c r="I93" i="2"/>
  <c r="K93" i="2" s="1"/>
  <c r="J92" i="2"/>
  <c r="I92" i="2"/>
  <c r="K92" i="2" s="1"/>
  <c r="J90" i="2"/>
  <c r="J89" i="2"/>
  <c r="J88" i="2"/>
  <c r="I88" i="2"/>
  <c r="J87" i="2"/>
  <c r="I87" i="2"/>
  <c r="K87" i="2" s="1"/>
  <c r="J86" i="2"/>
  <c r="I86" i="2"/>
  <c r="J85" i="2"/>
  <c r="I85" i="2"/>
  <c r="J84" i="2"/>
  <c r="I84" i="2"/>
  <c r="J83" i="2"/>
  <c r="I83" i="2"/>
  <c r="K83" i="2" s="1"/>
  <c r="J82" i="2"/>
  <c r="I82" i="2"/>
  <c r="K82" i="2" s="1"/>
  <c r="J81" i="2"/>
  <c r="I81" i="2"/>
  <c r="J80" i="2"/>
  <c r="I80" i="2"/>
  <c r="J79" i="2"/>
  <c r="J78" i="2"/>
  <c r="J77" i="2"/>
  <c r="J76" i="2"/>
  <c r="N74" i="2"/>
  <c r="L74" i="2"/>
  <c r="O74" i="2" s="1"/>
  <c r="L72" i="2"/>
  <c r="L71" i="2"/>
  <c r="N70" i="2"/>
  <c r="M70" i="2"/>
  <c r="O69" i="2"/>
  <c r="P67" i="2"/>
  <c r="N67" i="2"/>
  <c r="M67" i="2"/>
  <c r="L67" i="2"/>
  <c r="O67" i="2" s="1"/>
  <c r="J65" i="2"/>
  <c r="I65" i="2"/>
  <c r="J64" i="2"/>
  <c r="I64" i="2"/>
  <c r="N61" i="2"/>
  <c r="L61" i="2"/>
  <c r="O61" i="2" s="1"/>
  <c r="L59" i="2"/>
  <c r="L58" i="2"/>
  <c r="N57" i="2"/>
  <c r="M57" i="2"/>
  <c r="M55" i="2" s="1"/>
  <c r="N54" i="2"/>
  <c r="M54" i="2"/>
  <c r="P54" i="2" s="1"/>
  <c r="L54" i="2"/>
  <c r="O54" i="2" s="1"/>
  <c r="N49" i="2"/>
  <c r="L49" i="2"/>
  <c r="O49" i="2" s="1"/>
  <c r="L47" i="2"/>
  <c r="L46" i="2"/>
  <c r="N45" i="2"/>
  <c r="M45" i="2"/>
  <c r="M43" i="2" s="1"/>
  <c r="M41" i="2" s="1"/>
  <c r="N42" i="2"/>
  <c r="M42" i="2"/>
  <c r="P42" i="2" s="1"/>
  <c r="L42" i="2"/>
  <c r="P36" i="2"/>
  <c r="O36" i="2"/>
  <c r="P35" i="2"/>
  <c r="O35" i="2"/>
  <c r="M34" i="2"/>
  <c r="P34" i="2" s="1"/>
  <c r="M33" i="2"/>
  <c r="P33" i="2" s="1"/>
  <c r="M32" i="2"/>
  <c r="P32" i="2" s="1"/>
  <c r="P31" i="2"/>
  <c r="M31" i="2"/>
  <c r="P30" i="2"/>
  <c r="M30" i="2"/>
  <c r="P29" i="2"/>
  <c r="M29" i="2"/>
  <c r="M28" i="2"/>
  <c r="P28" i="2" s="1"/>
  <c r="N25" i="2"/>
  <c r="M25" i="2"/>
  <c r="P25" i="2" s="1"/>
  <c r="L25" i="2"/>
  <c r="O25" i="2" s="1"/>
  <c r="N24" i="2"/>
  <c r="M24" i="2"/>
  <c r="P24" i="2" s="1"/>
  <c r="P23" i="2"/>
  <c r="N23" i="2"/>
  <c r="M23" i="2"/>
  <c r="P21" i="2"/>
  <c r="O21" i="2"/>
  <c r="N21" i="2"/>
  <c r="M21" i="2"/>
  <c r="M19" i="2" s="1"/>
  <c r="L21" i="2"/>
  <c r="N19" i="2"/>
  <c r="L19" i="2"/>
  <c r="O19" i="2" s="1"/>
  <c r="P15" i="2"/>
  <c r="O15" i="2"/>
  <c r="N15" i="2"/>
  <c r="M15" i="2"/>
  <c r="L15" i="2"/>
  <c r="P14" i="2"/>
  <c r="M14" i="2"/>
  <c r="M13" i="2"/>
  <c r="P13" i="2" s="1"/>
  <c r="M11" i="2"/>
  <c r="P11" i="2" s="1"/>
  <c r="J670" i="1"/>
  <c r="J669" i="1"/>
  <c r="O639" i="1"/>
  <c r="O637" i="1"/>
  <c r="I548" i="1"/>
  <c r="K548" i="1" s="1"/>
  <c r="I365" i="1"/>
  <c r="K365" i="1" s="1"/>
  <c r="L336" i="1"/>
  <c r="N332" i="1"/>
  <c r="M332" i="1"/>
  <c r="L332" i="1"/>
  <c r="O332" i="1" s="1"/>
  <c r="O330" i="1"/>
  <c r="N330" i="1"/>
  <c r="M330" i="1"/>
  <c r="P330" i="1" s="1"/>
  <c r="L330" i="1"/>
  <c r="L317" i="1"/>
  <c r="N313" i="1"/>
  <c r="M313" i="1"/>
  <c r="L313" i="1"/>
  <c r="O313" i="1" s="1"/>
  <c r="P311" i="1"/>
  <c r="N311" i="1"/>
  <c r="M311" i="1"/>
  <c r="L311" i="1"/>
  <c r="O311" i="1" s="1"/>
  <c r="J307" i="1"/>
  <c r="L297" i="1"/>
  <c r="N293" i="1"/>
  <c r="M293" i="1"/>
  <c r="L293" i="1"/>
  <c r="O293" i="1" s="1"/>
  <c r="P291" i="1"/>
  <c r="N291" i="1"/>
  <c r="M291" i="1"/>
  <c r="L291" i="1"/>
  <c r="O291" i="1" s="1"/>
  <c r="L278" i="1"/>
  <c r="N274" i="1"/>
  <c r="M274" i="1"/>
  <c r="L274" i="1"/>
  <c r="O274" i="1" s="1"/>
  <c r="P272" i="1"/>
  <c r="N272" i="1"/>
  <c r="M272" i="1"/>
  <c r="L272" i="1"/>
  <c r="O272" i="1" s="1"/>
  <c r="L257" i="1"/>
  <c r="O253" i="1"/>
  <c r="N253" i="1"/>
  <c r="M253" i="1"/>
  <c r="L253" i="1"/>
  <c r="O251" i="1"/>
  <c r="N251" i="1"/>
  <c r="M251" i="1"/>
  <c r="P251" i="1" s="1"/>
  <c r="L251" i="1"/>
  <c r="J240" i="1"/>
  <c r="L227" i="1"/>
  <c r="N223" i="1"/>
  <c r="M223" i="1"/>
  <c r="L223" i="1"/>
  <c r="O223" i="1" s="1"/>
  <c r="P221" i="1"/>
  <c r="N221" i="1"/>
  <c r="M221" i="1"/>
  <c r="L221" i="1"/>
  <c r="O221" i="1" s="1"/>
  <c r="J214" i="1"/>
  <c r="I214" i="1"/>
  <c r="J198" i="1"/>
  <c r="I175" i="1"/>
  <c r="I174" i="1"/>
  <c r="I172" i="1"/>
  <c r="I171" i="1"/>
  <c r="I170" i="1"/>
  <c r="L147" i="1"/>
  <c r="O143" i="1"/>
  <c r="N143" i="1"/>
  <c r="M143" i="1"/>
  <c r="L143" i="1"/>
  <c r="O141" i="1"/>
  <c r="N141" i="1"/>
  <c r="M141" i="1"/>
  <c r="P141" i="1" s="1"/>
  <c r="L141" i="1"/>
  <c r="L125" i="1"/>
  <c r="N121" i="1"/>
  <c r="M121" i="1"/>
  <c r="L121" i="1"/>
  <c r="O121" i="1" s="1"/>
  <c r="P119" i="1"/>
  <c r="N119" i="1"/>
  <c r="M119" i="1"/>
  <c r="L119" i="1"/>
  <c r="O119" i="1" s="1"/>
  <c r="L101" i="1"/>
  <c r="N97" i="1"/>
  <c r="M97" i="1"/>
  <c r="L97" i="1"/>
  <c r="O97" i="1" s="1"/>
  <c r="N95" i="1"/>
  <c r="M95" i="1"/>
  <c r="P95" i="1" s="1"/>
  <c r="L95" i="1"/>
  <c r="O95" i="1" s="1"/>
  <c r="L73" i="1"/>
  <c r="N69" i="1"/>
  <c r="M69" i="1"/>
  <c r="L69" i="1"/>
  <c r="O69" i="1" s="1"/>
  <c r="P67" i="1"/>
  <c r="O67" i="1"/>
  <c r="N67" i="1"/>
  <c r="M67" i="1"/>
  <c r="L67" i="1"/>
  <c r="L60" i="1"/>
  <c r="L56" i="1"/>
  <c r="N54" i="1"/>
  <c r="M54" i="1"/>
  <c r="P54" i="1" s="1"/>
  <c r="L54" i="1"/>
  <c r="L48" i="1"/>
  <c r="L44" i="1"/>
  <c r="L42" i="1" s="1"/>
  <c r="P42" i="1"/>
  <c r="N42" i="1"/>
  <c r="M42" i="1"/>
  <c r="P36" i="1"/>
  <c r="N36" i="1"/>
  <c r="L36" i="1"/>
  <c r="O36" i="1" s="1"/>
  <c r="P35" i="1"/>
  <c r="O35" i="1"/>
  <c r="M34" i="1"/>
  <c r="P34" i="1" s="1"/>
  <c r="M33" i="1"/>
  <c r="P33" i="1" s="1"/>
  <c r="M32" i="1"/>
  <c r="P32" i="1" s="1"/>
  <c r="P31" i="1"/>
  <c r="M31" i="1"/>
  <c r="M29" i="1" s="1"/>
  <c r="N25" i="1"/>
  <c r="M25" i="1"/>
  <c r="P25" i="1" s="1"/>
  <c r="L25" i="1"/>
  <c r="O25" i="1" s="1"/>
  <c r="N24" i="1"/>
  <c r="M24" i="1"/>
  <c r="P24" i="1" s="1"/>
  <c r="N23" i="1"/>
  <c r="M23" i="1"/>
  <c r="P23" i="1" s="1"/>
  <c r="O21" i="1"/>
  <c r="N21" i="1"/>
  <c r="N19" i="1" s="1"/>
  <c r="M21" i="1"/>
  <c r="M19" i="1" s="1"/>
  <c r="L21" i="1"/>
  <c r="L19" i="1"/>
  <c r="P15" i="1"/>
  <c r="O15" i="1"/>
  <c r="N15" i="1"/>
  <c r="M15" i="1"/>
  <c r="L15" i="1"/>
  <c r="M14" i="1"/>
  <c r="P14" i="1" s="1"/>
  <c r="M13" i="1"/>
  <c r="P13" i="1" s="1"/>
  <c r="P11" i="1"/>
  <c r="M11" i="1"/>
  <c r="P9" i="1"/>
  <c r="M9" i="1"/>
  <c r="N273" i="4" l="1"/>
  <c r="N271" i="4" s="1"/>
  <c r="K370" i="12"/>
  <c r="K429" i="12"/>
  <c r="O435" i="12"/>
  <c r="J651" i="7"/>
  <c r="J671" i="8"/>
  <c r="J651" i="12"/>
  <c r="K138" i="2"/>
  <c r="N43" i="13"/>
  <c r="N331" i="13"/>
  <c r="N329" i="13" s="1"/>
  <c r="N68" i="7"/>
  <c r="N292" i="8"/>
  <c r="N290" i="8" s="1"/>
  <c r="N292" i="7"/>
  <c r="N290" i="7" s="1"/>
  <c r="N222" i="8"/>
  <c r="N273" i="11"/>
  <c r="N271" i="11" s="1"/>
  <c r="J651" i="3"/>
  <c r="K80" i="3"/>
  <c r="K86" i="3"/>
  <c r="P122" i="3"/>
  <c r="L294" i="11"/>
  <c r="O294" i="11" s="1"/>
  <c r="N55" i="7"/>
  <c r="N53" i="7" s="1"/>
  <c r="K328" i="13"/>
  <c r="P45" i="10"/>
  <c r="L57" i="10"/>
  <c r="O57" i="10" s="1"/>
  <c r="N312" i="11"/>
  <c r="N310" i="11" s="1"/>
  <c r="K547" i="15"/>
  <c r="O601" i="15"/>
  <c r="K628" i="15"/>
  <c r="L45" i="9"/>
  <c r="K229" i="9"/>
  <c r="K235" i="9"/>
  <c r="O599" i="10"/>
  <c r="K630" i="11"/>
  <c r="K633" i="11"/>
  <c r="K402" i="12"/>
  <c r="K425" i="12"/>
  <c r="K498" i="12"/>
  <c r="O533" i="12"/>
  <c r="K235" i="8"/>
  <c r="L144" i="10"/>
  <c r="L142" i="10" s="1"/>
  <c r="N273" i="10"/>
  <c r="N271" i="10" s="1"/>
  <c r="K631" i="15"/>
  <c r="J578" i="1"/>
  <c r="O401" i="4"/>
  <c r="K418" i="4"/>
  <c r="K424" i="4"/>
  <c r="K427" i="4"/>
  <c r="O564" i="4"/>
  <c r="O580" i="5"/>
  <c r="O406" i="6"/>
  <c r="K417" i="6"/>
  <c r="K423" i="6"/>
  <c r="K429" i="6"/>
  <c r="K449" i="6"/>
  <c r="N406" i="1"/>
  <c r="J449" i="1"/>
  <c r="K628" i="5"/>
  <c r="L437" i="1"/>
  <c r="K634" i="15"/>
  <c r="M292" i="6"/>
  <c r="M290" i="6" s="1"/>
  <c r="P290" i="6" s="1"/>
  <c r="L333" i="9"/>
  <c r="O333" i="9" s="1"/>
  <c r="O401" i="3"/>
  <c r="O404" i="3"/>
  <c r="K427" i="3"/>
  <c r="K430" i="3"/>
  <c r="K450" i="3"/>
  <c r="O459" i="3"/>
  <c r="K164" i="4"/>
  <c r="O404" i="6"/>
  <c r="K450" i="6"/>
  <c r="K464" i="6"/>
  <c r="O439" i="9"/>
  <c r="K450" i="9"/>
  <c r="O459" i="9"/>
  <c r="K464" i="9"/>
  <c r="O535" i="9"/>
  <c r="J245" i="1"/>
  <c r="J397" i="1"/>
  <c r="N435" i="1"/>
  <c r="N438" i="1"/>
  <c r="N443" i="1"/>
  <c r="J452" i="1"/>
  <c r="N455" i="1"/>
  <c r="N463" i="1"/>
  <c r="J466" i="1"/>
  <c r="J469" i="1"/>
  <c r="J472" i="1"/>
  <c r="J475" i="1"/>
  <c r="J478" i="1"/>
  <c r="K616" i="8"/>
  <c r="K619" i="9"/>
  <c r="K328" i="11"/>
  <c r="K419" i="11"/>
  <c r="O457" i="11"/>
  <c r="O597" i="14"/>
  <c r="J244" i="1"/>
  <c r="K341" i="4"/>
  <c r="N68" i="5"/>
  <c r="N66" i="5" s="1"/>
  <c r="N142" i="5"/>
  <c r="N140" i="5" s="1"/>
  <c r="N331" i="6"/>
  <c r="N329" i="6" s="1"/>
  <c r="N222" i="9"/>
  <c r="N220" i="9" s="1"/>
  <c r="K328" i="10"/>
  <c r="J647" i="1"/>
  <c r="J671" i="15"/>
  <c r="J161" i="1"/>
  <c r="I501" i="1"/>
  <c r="K501" i="1" s="1"/>
  <c r="L256" i="1"/>
  <c r="I396" i="1"/>
  <c r="J418" i="1"/>
  <c r="J564" i="1"/>
  <c r="N566" i="1"/>
  <c r="N570" i="1"/>
  <c r="J575" i="1"/>
  <c r="N580" i="1"/>
  <c r="M312" i="10"/>
  <c r="P312" i="10" s="1"/>
  <c r="K597" i="15"/>
  <c r="O599" i="15"/>
  <c r="K81" i="3"/>
  <c r="O349" i="4"/>
  <c r="O599" i="4"/>
  <c r="K113" i="9"/>
  <c r="K370" i="9"/>
  <c r="K377" i="10"/>
  <c r="K421" i="10"/>
  <c r="N222" i="4"/>
  <c r="J651" i="4"/>
  <c r="J104" i="1"/>
  <c r="K474" i="15"/>
  <c r="J488" i="1"/>
  <c r="K87" i="3"/>
  <c r="K92" i="3"/>
  <c r="M222" i="3"/>
  <c r="P222" i="3" s="1"/>
  <c r="N337" i="1"/>
  <c r="N409" i="1"/>
  <c r="J671" i="3"/>
  <c r="N68" i="4"/>
  <c r="N66" i="4" s="1"/>
  <c r="K199" i="5"/>
  <c r="O457" i="5"/>
  <c r="N292" i="6"/>
  <c r="N290" i="6" s="1"/>
  <c r="J263" i="1"/>
  <c r="K372" i="8"/>
  <c r="K375" i="8"/>
  <c r="J128" i="1"/>
  <c r="L228" i="1"/>
  <c r="O228" i="1" s="1"/>
  <c r="K629" i="9"/>
  <c r="I132" i="1"/>
  <c r="J270" i="1"/>
  <c r="I367" i="13"/>
  <c r="K367" i="13" s="1"/>
  <c r="J170" i="1"/>
  <c r="J175" i="1"/>
  <c r="K597" i="12"/>
  <c r="K481" i="15"/>
  <c r="J117" i="1"/>
  <c r="J155" i="1"/>
  <c r="J169" i="1"/>
  <c r="J187" i="1"/>
  <c r="I201" i="1"/>
  <c r="J321" i="1"/>
  <c r="L335" i="1"/>
  <c r="J346" i="1"/>
  <c r="N356" i="1"/>
  <c r="J625" i="1"/>
  <c r="K426" i="3"/>
  <c r="K449" i="3"/>
  <c r="K564" i="3"/>
  <c r="O566" i="3"/>
  <c r="O349" i="8"/>
  <c r="N68" i="10"/>
  <c r="N66" i="10" s="1"/>
  <c r="L224" i="11"/>
  <c r="L222" i="11" s="1"/>
  <c r="J106" i="1"/>
  <c r="J134" i="1"/>
  <c r="J160" i="1"/>
  <c r="J183" i="1"/>
  <c r="J196" i="1"/>
  <c r="J326" i="1"/>
  <c r="J340" i="1"/>
  <c r="N352" i="1"/>
  <c r="J363" i="1"/>
  <c r="L401" i="1"/>
  <c r="J445" i="1"/>
  <c r="P144" i="3"/>
  <c r="N33" i="4"/>
  <c r="N13" i="4" s="1"/>
  <c r="J593" i="1"/>
  <c r="K464" i="5"/>
  <c r="K473" i="5"/>
  <c r="K482" i="5"/>
  <c r="O564" i="5"/>
  <c r="K630" i="5"/>
  <c r="L224" i="6"/>
  <c r="O224" i="6" s="1"/>
  <c r="K629" i="6"/>
  <c r="K632" i="6"/>
  <c r="K635" i="6"/>
  <c r="P70" i="10"/>
  <c r="N32" i="12"/>
  <c r="N30" i="12" s="1"/>
  <c r="K398" i="12"/>
  <c r="K421" i="12"/>
  <c r="K427" i="12"/>
  <c r="K497" i="12"/>
  <c r="K630" i="12"/>
  <c r="K398" i="13"/>
  <c r="O401" i="13"/>
  <c r="I518" i="1"/>
  <c r="I533" i="1"/>
  <c r="J653" i="1"/>
  <c r="J156" i="1"/>
  <c r="J184" i="1"/>
  <c r="J188" i="1"/>
  <c r="J197" i="1"/>
  <c r="J201" i="1"/>
  <c r="J306" i="1"/>
  <c r="K340" i="4"/>
  <c r="K229" i="5"/>
  <c r="K235" i="5"/>
  <c r="O537" i="7"/>
  <c r="K564" i="7"/>
  <c r="L254" i="11"/>
  <c r="L252" i="11" s="1"/>
  <c r="O252" i="11" s="1"/>
  <c r="J79" i="1"/>
  <c r="J82" i="1"/>
  <c r="J85" i="1"/>
  <c r="J88" i="1"/>
  <c r="J93" i="1"/>
  <c r="J115" i="1"/>
  <c r="N68" i="13"/>
  <c r="N66" i="13" s="1"/>
  <c r="O385" i="13"/>
  <c r="K423" i="13"/>
  <c r="K429" i="13"/>
  <c r="O435" i="13"/>
  <c r="K449" i="13"/>
  <c r="O455" i="13"/>
  <c r="K235" i="14"/>
  <c r="K420" i="14"/>
  <c r="K426" i="14"/>
  <c r="N279" i="1"/>
  <c r="L535" i="1"/>
  <c r="L564" i="1"/>
  <c r="N388" i="1"/>
  <c r="J399" i="1"/>
  <c r="I402" i="1"/>
  <c r="I416" i="1"/>
  <c r="I422" i="1"/>
  <c r="I428" i="1"/>
  <c r="N440" i="1"/>
  <c r="J447" i="1"/>
  <c r="I455" i="1"/>
  <c r="L457" i="1"/>
  <c r="I498" i="1"/>
  <c r="K573" i="2"/>
  <c r="O582" i="2"/>
  <c r="N222" i="3"/>
  <c r="N220" i="3" s="1"/>
  <c r="N331" i="3"/>
  <c r="N329" i="3" s="1"/>
  <c r="P329" i="3" s="1"/>
  <c r="I481" i="1"/>
  <c r="L71" i="1"/>
  <c r="N122" i="1"/>
  <c r="I158" i="1"/>
  <c r="J163" i="1"/>
  <c r="J185" i="1"/>
  <c r="N583" i="1"/>
  <c r="N588" i="1"/>
  <c r="J594" i="1"/>
  <c r="J597" i="1"/>
  <c r="N603" i="1"/>
  <c r="J610" i="1"/>
  <c r="J613" i="1"/>
  <c r="J619" i="1"/>
  <c r="J622" i="1"/>
  <c r="N671" i="1"/>
  <c r="L124" i="1"/>
  <c r="N148" i="1"/>
  <c r="J367" i="1"/>
  <c r="J373" i="1"/>
  <c r="J376" i="1"/>
  <c r="J380" i="1"/>
  <c r="N382" i="1"/>
  <c r="N385" i="1"/>
  <c r="J392" i="1"/>
  <c r="J401" i="1"/>
  <c r="N403" i="1"/>
  <c r="J413" i="1"/>
  <c r="J417" i="1"/>
  <c r="O584" i="9"/>
  <c r="L45" i="10"/>
  <c r="J493" i="1"/>
  <c r="J548" i="1"/>
  <c r="N554" i="1"/>
  <c r="N559" i="1"/>
  <c r="J432" i="1"/>
  <c r="J615" i="1"/>
  <c r="I527" i="1"/>
  <c r="J549" i="1"/>
  <c r="J660" i="1"/>
  <c r="I346" i="1"/>
  <c r="K346" i="1" s="1"/>
  <c r="P333" i="2"/>
  <c r="L352" i="1"/>
  <c r="N355" i="1"/>
  <c r="J362" i="1"/>
  <c r="J486" i="1"/>
  <c r="J489" i="1"/>
  <c r="J495" i="1"/>
  <c r="J498" i="1"/>
  <c r="J507" i="1"/>
  <c r="J510" i="1"/>
  <c r="J513" i="1"/>
  <c r="O49" i="7"/>
  <c r="K628" i="11"/>
  <c r="K631" i="11"/>
  <c r="K634" i="11"/>
  <c r="J671" i="11"/>
  <c r="J350" i="1"/>
  <c r="K473" i="15"/>
  <c r="I524" i="1"/>
  <c r="N538" i="1"/>
  <c r="I517" i="1"/>
  <c r="I526" i="1"/>
  <c r="N587" i="1"/>
  <c r="N601" i="1"/>
  <c r="L100" i="1"/>
  <c r="J107" i="1"/>
  <c r="J129" i="1"/>
  <c r="J133" i="1"/>
  <c r="L145" i="1"/>
  <c r="J159" i="1"/>
  <c r="J164" i="1"/>
  <c r="J200" i="1"/>
  <c r="J204" i="1"/>
  <c r="J213" i="1"/>
  <c r="J218" i="1"/>
  <c r="L226" i="1"/>
  <c r="J268" i="1"/>
  <c r="N298" i="1"/>
  <c r="J304" i="1"/>
  <c r="J309" i="1"/>
  <c r="L254" i="4"/>
  <c r="O254" i="4" s="1"/>
  <c r="N120" i="5"/>
  <c r="N118" i="5" s="1"/>
  <c r="L316" i="1"/>
  <c r="J323" i="1"/>
  <c r="J328" i="1"/>
  <c r="N68" i="6"/>
  <c r="N66" i="6" s="1"/>
  <c r="L58" i="1"/>
  <c r="J322" i="1"/>
  <c r="I341" i="1"/>
  <c r="N401" i="1"/>
  <c r="N404" i="1"/>
  <c r="N408" i="1"/>
  <c r="J415" i="1"/>
  <c r="J421" i="1"/>
  <c r="J424" i="1"/>
  <c r="J427" i="1"/>
  <c r="K341" i="8"/>
  <c r="K350" i="8"/>
  <c r="K418" i="8"/>
  <c r="M49" i="1"/>
  <c r="J77" i="1"/>
  <c r="J84" i="1"/>
  <c r="M273" i="10"/>
  <c r="P273" i="10" s="1"/>
  <c r="L45" i="11"/>
  <c r="L43" i="11" s="1"/>
  <c r="L41" i="11" s="1"/>
  <c r="L57" i="11"/>
  <c r="O57" i="11" s="1"/>
  <c r="N120" i="12"/>
  <c r="N118" i="12" s="1"/>
  <c r="J285" i="1"/>
  <c r="I521" i="1"/>
  <c r="I328" i="1"/>
  <c r="K328" i="1" s="1"/>
  <c r="I381" i="1"/>
  <c r="L47" i="1"/>
  <c r="K629" i="2"/>
  <c r="K289" i="3"/>
  <c r="K306" i="3"/>
  <c r="I112" i="1"/>
  <c r="L98" i="6"/>
  <c r="O98" i="6" s="1"/>
  <c r="J369" i="1"/>
  <c r="K149" i="7"/>
  <c r="K416" i="7"/>
  <c r="K422" i="7"/>
  <c r="O437" i="8"/>
  <c r="O457" i="8"/>
  <c r="K631" i="9"/>
  <c r="K164" i="10"/>
  <c r="K173" i="10"/>
  <c r="N312" i="10"/>
  <c r="N310" i="10" s="1"/>
  <c r="O601" i="10"/>
  <c r="K110" i="2"/>
  <c r="I110" i="1"/>
  <c r="I377" i="1"/>
  <c r="L383" i="1"/>
  <c r="J393" i="1"/>
  <c r="I530" i="1"/>
  <c r="J545" i="1"/>
  <c r="J235" i="1"/>
  <c r="I520" i="1"/>
  <c r="I523" i="1"/>
  <c r="I529" i="1"/>
  <c r="I532" i="1"/>
  <c r="L537" i="1"/>
  <c r="J543" i="1"/>
  <c r="I564" i="1"/>
  <c r="N569" i="1"/>
  <c r="I597" i="1"/>
  <c r="J609" i="1"/>
  <c r="O126" i="6"/>
  <c r="L126" i="1"/>
  <c r="O126" i="1" s="1"/>
  <c r="K138" i="6"/>
  <c r="I138" i="1"/>
  <c r="O600" i="11"/>
  <c r="L600" i="1"/>
  <c r="O600" i="1" s="1"/>
  <c r="L382" i="1"/>
  <c r="O382" i="1" s="1"/>
  <c r="I397" i="1"/>
  <c r="J412" i="1"/>
  <c r="L455" i="1"/>
  <c r="O455" i="1" s="1"/>
  <c r="K472" i="3"/>
  <c r="I472" i="1"/>
  <c r="K472" i="1" s="1"/>
  <c r="J78" i="1"/>
  <c r="K304" i="8"/>
  <c r="I304" i="1"/>
  <c r="I420" i="1"/>
  <c r="O458" i="3"/>
  <c r="L458" i="1"/>
  <c r="O458" i="1" s="1"/>
  <c r="N144" i="1"/>
  <c r="I264" i="1"/>
  <c r="N553" i="1"/>
  <c r="N557" i="1"/>
  <c r="N568" i="1"/>
  <c r="J573" i="1"/>
  <c r="J577" i="1"/>
  <c r="J580" i="1"/>
  <c r="N582" i="1"/>
  <c r="N586" i="1"/>
  <c r="J590" i="1"/>
  <c r="I482" i="1"/>
  <c r="O279" i="2"/>
  <c r="L279" i="1"/>
  <c r="O279" i="1" s="1"/>
  <c r="K285" i="2"/>
  <c r="I285" i="1"/>
  <c r="K285" i="1" s="1"/>
  <c r="J233" i="1"/>
  <c r="K238" i="9"/>
  <c r="I238" i="1"/>
  <c r="K238" i="1" s="1"/>
  <c r="I374" i="1"/>
  <c r="L380" i="1"/>
  <c r="N386" i="1"/>
  <c r="L74" i="1"/>
  <c r="O74" i="1" s="1"/>
  <c r="O534" i="2"/>
  <c r="L534" i="1"/>
  <c r="O534" i="1" s="1"/>
  <c r="N598" i="1"/>
  <c r="J612" i="1"/>
  <c r="J618" i="1"/>
  <c r="J624" i="1"/>
  <c r="J634" i="1"/>
  <c r="N650" i="1"/>
  <c r="K668" i="2"/>
  <c r="I668" i="1"/>
  <c r="K668" i="1" s="1"/>
  <c r="L123" i="1"/>
  <c r="J149" i="1"/>
  <c r="J194" i="1"/>
  <c r="J286" i="1"/>
  <c r="N333" i="1"/>
  <c r="K133" i="7"/>
  <c r="I133" i="1"/>
  <c r="K344" i="7"/>
  <c r="I344" i="1"/>
  <c r="K344" i="1" s="1"/>
  <c r="J494" i="1"/>
  <c r="K596" i="9"/>
  <c r="I596" i="1"/>
  <c r="K596" i="1" s="1"/>
  <c r="J90" i="1"/>
  <c r="O566" i="2"/>
  <c r="L566" i="1"/>
  <c r="J608" i="1"/>
  <c r="J621" i="1"/>
  <c r="J628" i="1"/>
  <c r="J631" i="1"/>
  <c r="J649" i="1"/>
  <c r="J661" i="1"/>
  <c r="I186" i="1"/>
  <c r="J217" i="1"/>
  <c r="J342" i="1"/>
  <c r="K117" i="5"/>
  <c r="I117" i="1"/>
  <c r="K339" i="6"/>
  <c r="I339" i="1"/>
  <c r="K339" i="1" s="1"/>
  <c r="I593" i="1"/>
  <c r="K593" i="6"/>
  <c r="L295" i="1"/>
  <c r="L294" i="10"/>
  <c r="O294" i="10" s="1"/>
  <c r="L122" i="2"/>
  <c r="O122" i="2" s="1"/>
  <c r="J210" i="1"/>
  <c r="J215" i="1"/>
  <c r="J219" i="1"/>
  <c r="M224" i="1"/>
  <c r="I235" i="1"/>
  <c r="J262" i="1"/>
  <c r="L315" i="1"/>
  <c r="N357" i="1"/>
  <c r="J364" i="1"/>
  <c r="J496" i="1"/>
  <c r="J499" i="1"/>
  <c r="J502" i="1"/>
  <c r="J505" i="1"/>
  <c r="J508" i="1"/>
  <c r="J511" i="1"/>
  <c r="J514" i="1"/>
  <c r="J517" i="1"/>
  <c r="J520" i="1"/>
  <c r="J523" i="1"/>
  <c r="J526" i="1"/>
  <c r="J529" i="1"/>
  <c r="J532" i="1"/>
  <c r="N534" i="1"/>
  <c r="N537" i="1"/>
  <c r="J544" i="1"/>
  <c r="N551" i="1"/>
  <c r="J591" i="1"/>
  <c r="K249" i="4"/>
  <c r="K93" i="5"/>
  <c r="O385" i="5"/>
  <c r="K158" i="10"/>
  <c r="J666" i="1"/>
  <c r="L314" i="12"/>
  <c r="O314" i="12" s="1"/>
  <c r="J651" i="14"/>
  <c r="N96" i="15"/>
  <c r="N94" i="15" s="1"/>
  <c r="K164" i="15"/>
  <c r="L224" i="15"/>
  <c r="O224" i="15" s="1"/>
  <c r="J302" i="1"/>
  <c r="J482" i="1"/>
  <c r="J485" i="1"/>
  <c r="N599" i="1"/>
  <c r="K111" i="3"/>
  <c r="J675" i="1"/>
  <c r="N43" i="4"/>
  <c r="N41" i="4" s="1"/>
  <c r="N292" i="4"/>
  <c r="N290" i="4" s="1"/>
  <c r="J629" i="1"/>
  <c r="J635" i="1"/>
  <c r="N649" i="1"/>
  <c r="L70" i="7"/>
  <c r="L68" i="7" s="1"/>
  <c r="O68" i="7" s="1"/>
  <c r="N273" i="9"/>
  <c r="N271" i="9" s="1"/>
  <c r="J671" i="10"/>
  <c r="N96" i="12"/>
  <c r="N94" i="12" s="1"/>
  <c r="N120" i="14"/>
  <c r="N118" i="14" s="1"/>
  <c r="K618" i="14"/>
  <c r="N43" i="2"/>
  <c r="N41" i="2" s="1"/>
  <c r="P41" i="2" s="1"/>
  <c r="N70" i="1"/>
  <c r="J81" i="1"/>
  <c r="J87" i="1"/>
  <c r="J92" i="1"/>
  <c r="J132" i="1"/>
  <c r="N273" i="2"/>
  <c r="N271" i="2" s="1"/>
  <c r="J282" i="1"/>
  <c r="J287" i="1"/>
  <c r="J303" i="1"/>
  <c r="J308" i="1"/>
  <c r="L354" i="1"/>
  <c r="J372" i="1"/>
  <c r="J375" i="1"/>
  <c r="J379" i="1"/>
  <c r="K381" i="2"/>
  <c r="N384" i="1"/>
  <c r="N461" i="1"/>
  <c r="J465" i="1"/>
  <c r="J468" i="1"/>
  <c r="J471" i="1"/>
  <c r="J474" i="1"/>
  <c r="J491" i="1"/>
  <c r="L314" i="3"/>
  <c r="O314" i="3" s="1"/>
  <c r="N34" i="3"/>
  <c r="N14" i="3" s="1"/>
  <c r="P333" i="4"/>
  <c r="J671" i="5"/>
  <c r="L45" i="8"/>
  <c r="O45" i="8" s="1"/>
  <c r="K117" i="8"/>
  <c r="K424" i="8"/>
  <c r="O439" i="8"/>
  <c r="M96" i="13"/>
  <c r="P96" i="13" s="1"/>
  <c r="N43" i="15"/>
  <c r="N41" i="15" s="1"/>
  <c r="K289" i="15"/>
  <c r="K85" i="2"/>
  <c r="J232" i="1"/>
  <c r="J237" i="1"/>
  <c r="J267" i="1"/>
  <c r="M292" i="2"/>
  <c r="M290" i="2" s="1"/>
  <c r="J345" i="1"/>
  <c r="J349" i="1"/>
  <c r="N351" i="1"/>
  <c r="J477" i="1"/>
  <c r="J483" i="1"/>
  <c r="N605" i="1"/>
  <c r="J611" i="1"/>
  <c r="K628" i="4"/>
  <c r="K634" i="4"/>
  <c r="K396" i="5"/>
  <c r="O584" i="5"/>
  <c r="O380" i="6"/>
  <c r="O564" i="6"/>
  <c r="L254" i="7"/>
  <c r="J655" i="1"/>
  <c r="N292" i="9"/>
  <c r="N290" i="9" s="1"/>
  <c r="O597" i="9"/>
  <c r="L122" i="10"/>
  <c r="O122" i="10" s="1"/>
  <c r="K324" i="13"/>
  <c r="N32" i="13"/>
  <c r="N30" i="13" s="1"/>
  <c r="N55" i="14"/>
  <c r="N53" i="14" s="1"/>
  <c r="N142" i="14"/>
  <c r="N140" i="14" s="1"/>
  <c r="K573" i="14"/>
  <c r="O601" i="14"/>
  <c r="K631" i="14"/>
  <c r="K634" i="14"/>
  <c r="J105" i="1"/>
  <c r="J109" i="1"/>
  <c r="J112" i="1"/>
  <c r="J260" i="1"/>
  <c r="L334" i="1"/>
  <c r="I340" i="1"/>
  <c r="I343" i="1"/>
  <c r="J370" i="1"/>
  <c r="J561" i="1"/>
  <c r="N565" i="1"/>
  <c r="O601" i="2"/>
  <c r="K631" i="2"/>
  <c r="K309" i="3"/>
  <c r="K340" i="3"/>
  <c r="K229" i="4"/>
  <c r="K267" i="4"/>
  <c r="K345" i="4"/>
  <c r="P144" i="5"/>
  <c r="K158" i="5"/>
  <c r="L224" i="5"/>
  <c r="L222" i="5" s="1"/>
  <c r="L294" i="5"/>
  <c r="L292" i="5" s="1"/>
  <c r="K328" i="5"/>
  <c r="P333" i="5"/>
  <c r="K345" i="5"/>
  <c r="K455" i="5"/>
  <c r="O568" i="5"/>
  <c r="K573" i="5"/>
  <c r="K580" i="5"/>
  <c r="K229" i="6"/>
  <c r="K381" i="6"/>
  <c r="K402" i="6"/>
  <c r="K465" i="6"/>
  <c r="O597" i="6"/>
  <c r="L275" i="7"/>
  <c r="O275" i="7" s="1"/>
  <c r="K418" i="7"/>
  <c r="K424" i="7"/>
  <c r="O439" i="7"/>
  <c r="K450" i="7"/>
  <c r="O599" i="7"/>
  <c r="K629" i="7"/>
  <c r="K635" i="7"/>
  <c r="L333" i="8"/>
  <c r="O333" i="8" s="1"/>
  <c r="O601" i="8"/>
  <c r="J651" i="8"/>
  <c r="N55" i="9"/>
  <c r="N53" i="9" s="1"/>
  <c r="L294" i="9"/>
  <c r="O294" i="9" s="1"/>
  <c r="O597" i="10"/>
  <c r="K418" i="11"/>
  <c r="P144" i="14"/>
  <c r="K149" i="14"/>
  <c r="K189" i="15"/>
  <c r="K376" i="15"/>
  <c r="N45" i="1"/>
  <c r="I85" i="1"/>
  <c r="I244" i="1"/>
  <c r="K244" i="1" s="1"/>
  <c r="I484" i="1"/>
  <c r="K484" i="1" s="1"/>
  <c r="I503" i="1"/>
  <c r="K503" i="1" s="1"/>
  <c r="I512" i="1"/>
  <c r="K512" i="1" s="1"/>
  <c r="I575" i="1"/>
  <c r="K575" i="1" s="1"/>
  <c r="I594" i="1"/>
  <c r="K594" i="1" s="1"/>
  <c r="K229" i="2"/>
  <c r="N252" i="2"/>
  <c r="N250" i="2" s="1"/>
  <c r="K304" i="2"/>
  <c r="J361" i="1"/>
  <c r="J366" i="1"/>
  <c r="K380" i="2"/>
  <c r="J391" i="1"/>
  <c r="I401" i="1"/>
  <c r="K417" i="2"/>
  <c r="K423" i="2"/>
  <c r="K429" i="2"/>
  <c r="O435" i="2"/>
  <c r="N442" i="1"/>
  <c r="K449" i="2"/>
  <c r="O455" i="2"/>
  <c r="N462" i="1"/>
  <c r="N602" i="1"/>
  <c r="I613" i="1"/>
  <c r="I616" i="1"/>
  <c r="I619" i="1"/>
  <c r="I622" i="1"/>
  <c r="I625" i="1"/>
  <c r="I635" i="1"/>
  <c r="J656" i="1"/>
  <c r="J665" i="1"/>
  <c r="N349" i="1"/>
  <c r="K573" i="7"/>
  <c r="I499" i="1"/>
  <c r="K499" i="1" s="1"/>
  <c r="J607" i="1"/>
  <c r="I615" i="1"/>
  <c r="I624" i="1"/>
  <c r="J646" i="1"/>
  <c r="I349" i="1"/>
  <c r="K349" i="1" s="1"/>
  <c r="I373" i="1"/>
  <c r="K373" i="1" s="1"/>
  <c r="L403" i="1"/>
  <c r="O403" i="1" s="1"/>
  <c r="I452" i="1"/>
  <c r="K452" i="1" s="1"/>
  <c r="I475" i="1"/>
  <c r="K475" i="1" s="1"/>
  <c r="I485" i="1"/>
  <c r="K485" i="1" s="1"/>
  <c r="I490" i="1"/>
  <c r="K490" i="1" s="1"/>
  <c r="I496" i="1"/>
  <c r="K496" i="1" s="1"/>
  <c r="I506" i="1"/>
  <c r="K506" i="1" s="1"/>
  <c r="I513" i="1"/>
  <c r="K513" i="1" s="1"/>
  <c r="L567" i="1"/>
  <c r="O567" i="1" s="1"/>
  <c r="I590" i="1"/>
  <c r="K590" i="1" s="1"/>
  <c r="P254" i="2"/>
  <c r="N585" i="1"/>
  <c r="I398" i="1"/>
  <c r="L404" i="1"/>
  <c r="N407" i="1"/>
  <c r="J414" i="1"/>
  <c r="I421" i="1"/>
  <c r="I424" i="1"/>
  <c r="I427" i="1"/>
  <c r="K427" i="1" s="1"/>
  <c r="I430" i="1"/>
  <c r="J433" i="1"/>
  <c r="J453" i="1"/>
  <c r="I473" i="1"/>
  <c r="J481" i="1"/>
  <c r="K481" i="1" s="1"/>
  <c r="J484" i="1"/>
  <c r="J487" i="1"/>
  <c r="J490" i="1"/>
  <c r="J500" i="1"/>
  <c r="N387" i="1"/>
  <c r="J394" i="1"/>
  <c r="L72" i="1"/>
  <c r="J658" i="1"/>
  <c r="I93" i="1"/>
  <c r="K93" i="1" s="1"/>
  <c r="I342" i="1"/>
  <c r="K342" i="1" s="1"/>
  <c r="L349" i="1"/>
  <c r="L385" i="1"/>
  <c r="I493" i="1"/>
  <c r="K493" i="1" s="1"/>
  <c r="I497" i="1"/>
  <c r="I507" i="1"/>
  <c r="K507" i="1" s="1"/>
  <c r="L551" i="1"/>
  <c r="O551" i="1" s="1"/>
  <c r="L583" i="1"/>
  <c r="O583" i="1" s="1"/>
  <c r="K80" i="2"/>
  <c r="L98" i="2"/>
  <c r="O98" i="2" s="1"/>
  <c r="J231" i="1"/>
  <c r="M273" i="2"/>
  <c r="P273" i="2" s="1"/>
  <c r="P294" i="2"/>
  <c r="O459" i="2"/>
  <c r="N558" i="1"/>
  <c r="J300" i="1"/>
  <c r="N74" i="1"/>
  <c r="J80" i="1"/>
  <c r="J86" i="1"/>
  <c r="N436" i="1"/>
  <c r="J446" i="1"/>
  <c r="J454" i="1"/>
  <c r="J464" i="1"/>
  <c r="J467" i="1"/>
  <c r="J470" i="1"/>
  <c r="J476" i="1"/>
  <c r="M57" i="1"/>
  <c r="M55" i="1" s="1"/>
  <c r="M53" i="1" s="1"/>
  <c r="L61" i="1"/>
  <c r="O61" i="1" s="1"/>
  <c r="I82" i="1"/>
  <c r="I88" i="1"/>
  <c r="I479" i="1"/>
  <c r="K479" i="1" s="1"/>
  <c r="I487" i="1"/>
  <c r="K487" i="1" s="1"/>
  <c r="I514" i="1"/>
  <c r="K514" i="1" s="1"/>
  <c r="I578" i="1"/>
  <c r="K578" i="1" s="1"/>
  <c r="J83" i="1"/>
  <c r="K328" i="2"/>
  <c r="J339" i="1"/>
  <c r="J209" i="1"/>
  <c r="I219" i="1"/>
  <c r="N228" i="1"/>
  <c r="J238" i="1"/>
  <c r="J172" i="1"/>
  <c r="J176" i="1"/>
  <c r="J189" i="1"/>
  <c r="J199" i="1"/>
  <c r="J212" i="1"/>
  <c r="J216" i="1"/>
  <c r="L276" i="1"/>
  <c r="J283" i="1"/>
  <c r="I289" i="1"/>
  <c r="N318" i="1"/>
  <c r="J236" i="1"/>
  <c r="J242" i="1"/>
  <c r="N314" i="1"/>
  <c r="J343" i="1"/>
  <c r="J423" i="1"/>
  <c r="J547" i="1"/>
  <c r="I92" i="1"/>
  <c r="K92" i="1" s="1"/>
  <c r="I87" i="1"/>
  <c r="I65" i="1"/>
  <c r="M254" i="1"/>
  <c r="L351" i="1"/>
  <c r="O351" i="1" s="1"/>
  <c r="L406" i="1"/>
  <c r="I426" i="1"/>
  <c r="I488" i="1"/>
  <c r="K488" i="1" s="1"/>
  <c r="I494" i="1"/>
  <c r="K494" i="1" s="1"/>
  <c r="I500" i="1"/>
  <c r="K500" i="1" s="1"/>
  <c r="I510" i="1"/>
  <c r="K510" i="1" s="1"/>
  <c r="I515" i="1"/>
  <c r="K515" i="1" s="1"/>
  <c r="L565" i="1"/>
  <c r="O565" i="1" s="1"/>
  <c r="J65" i="1"/>
  <c r="J76" i="1"/>
  <c r="I81" i="1"/>
  <c r="K84" i="2"/>
  <c r="L294" i="2"/>
  <c r="O294" i="2" s="1"/>
  <c r="K419" i="2"/>
  <c r="K425" i="2"/>
  <c r="K431" i="2"/>
  <c r="K435" i="2"/>
  <c r="O437" i="2"/>
  <c r="K465" i="2"/>
  <c r="K474" i="2"/>
  <c r="L225" i="1"/>
  <c r="N258" i="1"/>
  <c r="J264" i="1"/>
  <c r="J281" i="1"/>
  <c r="J110" i="1"/>
  <c r="J616" i="1"/>
  <c r="J632" i="1"/>
  <c r="J648" i="1"/>
  <c r="J671" i="2"/>
  <c r="K265" i="3"/>
  <c r="L275" i="3"/>
  <c r="O275" i="3" s="1"/>
  <c r="I516" i="1"/>
  <c r="I519" i="1"/>
  <c r="I522" i="1"/>
  <c r="I525" i="1"/>
  <c r="I528" i="1"/>
  <c r="I531" i="1"/>
  <c r="L533" i="1"/>
  <c r="N540" i="1"/>
  <c r="I547" i="1"/>
  <c r="N556" i="1"/>
  <c r="J650" i="1"/>
  <c r="L45" i="4"/>
  <c r="L43" i="4" s="1"/>
  <c r="K92" i="4"/>
  <c r="K426" i="4"/>
  <c r="K416" i="5"/>
  <c r="K428" i="5"/>
  <c r="K435" i="5"/>
  <c r="K589" i="5"/>
  <c r="K341" i="6"/>
  <c r="N31" i="7"/>
  <c r="N29" i="7" s="1"/>
  <c r="K397" i="7"/>
  <c r="K423" i="7"/>
  <c r="K426" i="7"/>
  <c r="K199" i="8"/>
  <c r="M252" i="8"/>
  <c r="P252" i="8" s="1"/>
  <c r="L32" i="8"/>
  <c r="L30" i="8" s="1"/>
  <c r="K597" i="8"/>
  <c r="K396" i="10"/>
  <c r="K416" i="10"/>
  <c r="K417" i="11"/>
  <c r="K429" i="11"/>
  <c r="K108" i="12"/>
  <c r="K111" i="12"/>
  <c r="N142" i="13"/>
  <c r="P142" i="13" s="1"/>
  <c r="K164" i="13"/>
  <c r="L314" i="14"/>
  <c r="O314" i="14" s="1"/>
  <c r="K341" i="14"/>
  <c r="O347" i="14"/>
  <c r="O380" i="14"/>
  <c r="K418" i="14"/>
  <c r="O459" i="14"/>
  <c r="K473" i="14"/>
  <c r="K149" i="15"/>
  <c r="K328" i="15"/>
  <c r="K381" i="15"/>
  <c r="K416" i="15"/>
  <c r="K419" i="15"/>
  <c r="K428" i="15"/>
  <c r="K499" i="15"/>
  <c r="L32" i="3"/>
  <c r="K473" i="3"/>
  <c r="K497" i="3"/>
  <c r="O601" i="3"/>
  <c r="N120" i="4"/>
  <c r="N118" i="4" s="1"/>
  <c r="N96" i="6"/>
  <c r="N94" i="6" s="1"/>
  <c r="N142" i="6"/>
  <c r="N140" i="6" s="1"/>
  <c r="K149" i="6"/>
  <c r="K164" i="6"/>
  <c r="L294" i="6"/>
  <c r="O294" i="6" s="1"/>
  <c r="N120" i="7"/>
  <c r="N118" i="7" s="1"/>
  <c r="N142" i="7"/>
  <c r="N140" i="7" s="1"/>
  <c r="K613" i="7"/>
  <c r="K619" i="7"/>
  <c r="N312" i="8"/>
  <c r="N310" i="8" s="1"/>
  <c r="O385" i="8"/>
  <c r="K612" i="8"/>
  <c r="K650" i="8"/>
  <c r="L144" i="9"/>
  <c r="L142" i="9" s="1"/>
  <c r="K396" i="9"/>
  <c r="O580" i="9"/>
  <c r="N222" i="10"/>
  <c r="P222" i="10" s="1"/>
  <c r="N68" i="11"/>
  <c r="N66" i="11" s="1"/>
  <c r="N96" i="13"/>
  <c r="N94" i="13" s="1"/>
  <c r="N120" i="13"/>
  <c r="N118" i="13" s="1"/>
  <c r="L144" i="13"/>
  <c r="O144" i="13" s="1"/>
  <c r="K421" i="13"/>
  <c r="K424" i="13"/>
  <c r="K427" i="13"/>
  <c r="K430" i="13"/>
  <c r="L294" i="15"/>
  <c r="L292" i="15" s="1"/>
  <c r="L290" i="15" s="1"/>
  <c r="O354" i="15"/>
  <c r="J614" i="1"/>
  <c r="J617" i="1"/>
  <c r="J620" i="1"/>
  <c r="J623" i="1"/>
  <c r="J626" i="1"/>
  <c r="J630" i="1"/>
  <c r="J157" i="1"/>
  <c r="J162" i="1"/>
  <c r="I176" i="1"/>
  <c r="I185" i="1"/>
  <c r="I189" i="1"/>
  <c r="I199" i="1"/>
  <c r="J202" i="1"/>
  <c r="K173" i="4"/>
  <c r="O347" i="4"/>
  <c r="K219" i="5"/>
  <c r="K380" i="5"/>
  <c r="K397" i="5"/>
  <c r="J651" i="6"/>
  <c r="L314" i="7"/>
  <c r="O314" i="7" s="1"/>
  <c r="K618" i="7"/>
  <c r="L98" i="8"/>
  <c r="O98" i="8" s="1"/>
  <c r="N120" i="8"/>
  <c r="P120" i="8" s="1"/>
  <c r="L144" i="8"/>
  <c r="O144" i="8" s="1"/>
  <c r="K381" i="9"/>
  <c r="K421" i="11"/>
  <c r="K424" i="11"/>
  <c r="K427" i="11"/>
  <c r="K430" i="11"/>
  <c r="K109" i="12"/>
  <c r="K396" i="12"/>
  <c r="O457" i="12"/>
  <c r="K618" i="13"/>
  <c r="K630" i="13"/>
  <c r="P57" i="14"/>
  <c r="K345" i="14"/>
  <c r="K381" i="14"/>
  <c r="K402" i="14"/>
  <c r="K416" i="14"/>
  <c r="K428" i="14"/>
  <c r="K465" i="14"/>
  <c r="K564" i="14"/>
  <c r="L70" i="15"/>
  <c r="O70" i="15" s="1"/>
  <c r="K397" i="15"/>
  <c r="K401" i="15"/>
  <c r="K420" i="15"/>
  <c r="K564" i="15"/>
  <c r="J663" i="1"/>
  <c r="N49" i="1"/>
  <c r="N57" i="1"/>
  <c r="J64" i="1"/>
  <c r="N98" i="1"/>
  <c r="I149" i="1"/>
  <c r="K149" i="1" s="1"/>
  <c r="I504" i="1"/>
  <c r="K504" i="1" s="1"/>
  <c r="O102" i="4"/>
  <c r="P70" i="6"/>
  <c r="K547" i="6"/>
  <c r="K428" i="7"/>
  <c r="O347" i="8"/>
  <c r="K424" i="10"/>
  <c r="K430" i="10"/>
  <c r="M43" i="11"/>
  <c r="M41" i="11" s="1"/>
  <c r="L294" i="13"/>
  <c r="O294" i="13" s="1"/>
  <c r="O457" i="13"/>
  <c r="O599" i="14"/>
  <c r="K219" i="15"/>
  <c r="P254" i="15"/>
  <c r="O298" i="15"/>
  <c r="O455" i="15"/>
  <c r="K466" i="15"/>
  <c r="L57" i="3"/>
  <c r="L55" i="3" s="1"/>
  <c r="K110" i="3"/>
  <c r="K113" i="3"/>
  <c r="N120" i="3"/>
  <c r="N118" i="3" s="1"/>
  <c r="O354" i="3"/>
  <c r="O564" i="3"/>
  <c r="P98" i="4"/>
  <c r="K343" i="4"/>
  <c r="K402" i="4"/>
  <c r="K416" i="4"/>
  <c r="N331" i="5"/>
  <c r="N329" i="5" s="1"/>
  <c r="O383" i="5"/>
  <c r="K427" i="5"/>
  <c r="P45" i="6"/>
  <c r="K340" i="6"/>
  <c r="K631" i="7"/>
  <c r="O537" i="8"/>
  <c r="K82" i="9"/>
  <c r="K88" i="9"/>
  <c r="P98" i="9"/>
  <c r="K109" i="9"/>
  <c r="K112" i="9"/>
  <c r="K249" i="9"/>
  <c r="K547" i="9"/>
  <c r="K573" i="9"/>
  <c r="L98" i="10"/>
  <c r="O98" i="10" s="1"/>
  <c r="L224" i="10"/>
  <c r="L222" i="10" s="1"/>
  <c r="L220" i="10" s="1"/>
  <c r="N96" i="11"/>
  <c r="N94" i="11" s="1"/>
  <c r="K396" i="11"/>
  <c r="K455" i="11"/>
  <c r="K368" i="12"/>
  <c r="K547" i="13"/>
  <c r="K593" i="13"/>
  <c r="O601" i="13"/>
  <c r="K189" i="14"/>
  <c r="K401" i="14"/>
  <c r="K429" i="14"/>
  <c r="K449" i="14"/>
  <c r="L122" i="15"/>
  <c r="L120" i="15" s="1"/>
  <c r="O404" i="15"/>
  <c r="K418" i="15"/>
  <c r="K430" i="15"/>
  <c r="L46" i="1"/>
  <c r="I80" i="1"/>
  <c r="L405" i="1"/>
  <c r="O405" i="1" s="1"/>
  <c r="L456" i="1"/>
  <c r="O456" i="1" s="1"/>
  <c r="I464" i="1"/>
  <c r="I470" i="1"/>
  <c r="K470" i="1" s="1"/>
  <c r="I511" i="1"/>
  <c r="K511" i="1" s="1"/>
  <c r="L536" i="1"/>
  <c r="O536" i="1" s="1"/>
  <c r="L554" i="1"/>
  <c r="O554" i="1" s="1"/>
  <c r="I561" i="1"/>
  <c r="K561" i="1" s="1"/>
  <c r="L599" i="1"/>
  <c r="O599" i="1" s="1"/>
  <c r="L649" i="1"/>
  <c r="L661" i="1"/>
  <c r="O661" i="1" s="1"/>
  <c r="J171" i="1"/>
  <c r="N597" i="1"/>
  <c r="J243" i="1"/>
  <c r="L347" i="1"/>
  <c r="K626" i="5"/>
  <c r="K623" i="5"/>
  <c r="J320" i="1"/>
  <c r="P275" i="12"/>
  <c r="M273" i="12"/>
  <c r="P273" i="12" s="1"/>
  <c r="L148" i="1"/>
  <c r="O148" i="1" s="1"/>
  <c r="L258" i="1"/>
  <c r="O258" i="1" s="1"/>
  <c r="I265" i="1"/>
  <c r="M275" i="1"/>
  <c r="M314" i="1"/>
  <c r="I380" i="1"/>
  <c r="K380" i="1" s="1"/>
  <c r="I419" i="1"/>
  <c r="I435" i="1"/>
  <c r="L439" i="1"/>
  <c r="I476" i="1"/>
  <c r="K476" i="1" s="1"/>
  <c r="I551" i="1"/>
  <c r="K551" i="1" s="1"/>
  <c r="I591" i="1"/>
  <c r="I595" i="1"/>
  <c r="I629" i="1"/>
  <c r="I663" i="1"/>
  <c r="K663" i="1" s="1"/>
  <c r="J246" i="1"/>
  <c r="L255" i="1"/>
  <c r="J284" i="1"/>
  <c r="J289" i="1"/>
  <c r="N32" i="2"/>
  <c r="N30" i="2" s="1"/>
  <c r="J672" i="1"/>
  <c r="L98" i="3"/>
  <c r="O98" i="3" s="1"/>
  <c r="K149" i="3"/>
  <c r="K158" i="3"/>
  <c r="I200" i="1"/>
  <c r="K200" i="1" s="1"/>
  <c r="K504" i="3"/>
  <c r="I64" i="1"/>
  <c r="I215" i="1"/>
  <c r="K215" i="1" s="1"/>
  <c r="I229" i="1"/>
  <c r="I267" i="1"/>
  <c r="L384" i="1"/>
  <c r="O384" i="1" s="1"/>
  <c r="N439" i="1"/>
  <c r="I580" i="1"/>
  <c r="L650" i="1"/>
  <c r="J657" i="1"/>
  <c r="I665" i="1"/>
  <c r="K665" i="1" s="1"/>
  <c r="I671" i="1"/>
  <c r="K671" i="1" s="1"/>
  <c r="J266" i="1"/>
  <c r="L45" i="3"/>
  <c r="L43" i="3" s="1"/>
  <c r="N68" i="3"/>
  <c r="N66" i="3" s="1"/>
  <c r="J114" i="1"/>
  <c r="J130" i="1"/>
  <c r="J154" i="1"/>
  <c r="J173" i="1"/>
  <c r="J182" i="1"/>
  <c r="J186" i="1"/>
  <c r="J195" i="1"/>
  <c r="M337" i="7"/>
  <c r="M331" i="7" s="1"/>
  <c r="O337" i="7"/>
  <c r="L99" i="1"/>
  <c r="M144" i="1"/>
  <c r="M294" i="1"/>
  <c r="I370" i="1"/>
  <c r="I376" i="1"/>
  <c r="J420" i="1"/>
  <c r="L436" i="1"/>
  <c r="O436" i="1" s="1"/>
  <c r="I450" i="1"/>
  <c r="I467" i="1"/>
  <c r="K467" i="1" s="1"/>
  <c r="I491" i="1"/>
  <c r="K491" i="1" s="1"/>
  <c r="I505" i="1"/>
  <c r="K505" i="1" s="1"/>
  <c r="I509" i="1"/>
  <c r="K509" i="1" s="1"/>
  <c r="N22" i="2"/>
  <c r="N55" i="2"/>
  <c r="N53" i="2" s="1"/>
  <c r="N564" i="1"/>
  <c r="J667" i="1"/>
  <c r="N102" i="1"/>
  <c r="J108" i="1"/>
  <c r="N31" i="3"/>
  <c r="K369" i="3"/>
  <c r="I367" i="3"/>
  <c r="K367" i="3" s="1"/>
  <c r="I474" i="1"/>
  <c r="J325" i="1"/>
  <c r="M45" i="1"/>
  <c r="N294" i="1"/>
  <c r="I309" i="1"/>
  <c r="J324" i="1"/>
  <c r="I425" i="1"/>
  <c r="I431" i="1"/>
  <c r="I451" i="1"/>
  <c r="L459" i="1"/>
  <c r="L553" i="1"/>
  <c r="O553" i="1" s="1"/>
  <c r="L568" i="1"/>
  <c r="L651" i="1"/>
  <c r="O651" i="1" s="1"/>
  <c r="K88" i="2"/>
  <c r="N222" i="2"/>
  <c r="J234" i="1"/>
  <c r="J301" i="1"/>
  <c r="K306" i="2"/>
  <c r="K345" i="2"/>
  <c r="K418" i="2"/>
  <c r="K424" i="2"/>
  <c r="K430" i="2"/>
  <c r="P98" i="3"/>
  <c r="N142" i="3"/>
  <c r="N140" i="3" s="1"/>
  <c r="N410" i="1"/>
  <c r="J416" i="1"/>
  <c r="K416" i="1" s="1"/>
  <c r="N604" i="1"/>
  <c r="I611" i="1"/>
  <c r="K613" i="1" s="1"/>
  <c r="I614" i="1"/>
  <c r="I617" i="1"/>
  <c r="I620" i="1"/>
  <c r="I623" i="1"/>
  <c r="I626" i="1"/>
  <c r="J419" i="1"/>
  <c r="J422" i="1"/>
  <c r="J425" i="1"/>
  <c r="J428" i="1"/>
  <c r="J431" i="1"/>
  <c r="N437" i="1"/>
  <c r="N441" i="1"/>
  <c r="J448" i="1"/>
  <c r="J451" i="1"/>
  <c r="J455" i="1"/>
  <c r="L144" i="5"/>
  <c r="O144" i="5" s="1"/>
  <c r="K381" i="5"/>
  <c r="K425" i="5"/>
  <c r="O582" i="5"/>
  <c r="J651" i="5"/>
  <c r="N552" i="1"/>
  <c r="N571" i="1"/>
  <c r="K597" i="6"/>
  <c r="O599" i="6"/>
  <c r="J677" i="1"/>
  <c r="K328" i="7"/>
  <c r="N34" i="8"/>
  <c r="N14" i="8" s="1"/>
  <c r="M252" i="10"/>
  <c r="M250" i="10" s="1"/>
  <c r="P250" i="10" s="1"/>
  <c r="P254" i="10"/>
  <c r="J576" i="1"/>
  <c r="J579" i="1"/>
  <c r="N581" i="1"/>
  <c r="N584" i="1"/>
  <c r="P254" i="3"/>
  <c r="L337" i="1"/>
  <c r="K350" i="3"/>
  <c r="K200" i="4"/>
  <c r="J371" i="1"/>
  <c r="J374" i="1"/>
  <c r="J377" i="1"/>
  <c r="O380" i="4"/>
  <c r="J434" i="1"/>
  <c r="J450" i="1"/>
  <c r="N456" i="1"/>
  <c r="O459" i="4"/>
  <c r="J473" i="1"/>
  <c r="J479" i="1"/>
  <c r="J497" i="1"/>
  <c r="J503" i="1"/>
  <c r="J506" i="1"/>
  <c r="J509" i="1"/>
  <c r="J512" i="1"/>
  <c r="J515" i="1"/>
  <c r="J518" i="1"/>
  <c r="J521" i="1"/>
  <c r="J524" i="1"/>
  <c r="J527" i="1"/>
  <c r="J530" i="1"/>
  <c r="J533" i="1"/>
  <c r="N535" i="1"/>
  <c r="N539" i="1"/>
  <c r="J546" i="1"/>
  <c r="J550" i="1"/>
  <c r="N651" i="1"/>
  <c r="N661" i="1"/>
  <c r="J668" i="1"/>
  <c r="K401" i="5"/>
  <c r="O406" i="5"/>
  <c r="K423" i="5"/>
  <c r="K593" i="5"/>
  <c r="N648" i="1"/>
  <c r="J662" i="1"/>
  <c r="L102" i="1"/>
  <c r="N120" i="6"/>
  <c r="N118" i="6" s="1"/>
  <c r="N252" i="6"/>
  <c r="N250" i="6" s="1"/>
  <c r="K328" i="6"/>
  <c r="N567" i="1"/>
  <c r="J592" i="1"/>
  <c r="N665" i="1"/>
  <c r="J131" i="1"/>
  <c r="L144" i="7"/>
  <c r="O144" i="7" s="1"/>
  <c r="K164" i="7"/>
  <c r="I173" i="1"/>
  <c r="J181" i="1"/>
  <c r="J203" i="1"/>
  <c r="J211" i="1"/>
  <c r="N222" i="7"/>
  <c r="N220" i="7" s="1"/>
  <c r="J229" i="1"/>
  <c r="J241" i="1"/>
  <c r="N252" i="7"/>
  <c r="N250" i="7" s="1"/>
  <c r="N273" i="7"/>
  <c r="J341" i="1"/>
  <c r="J344" i="1"/>
  <c r="N347" i="1"/>
  <c r="N353" i="1"/>
  <c r="N358" i="1"/>
  <c r="K398" i="7"/>
  <c r="J430" i="1"/>
  <c r="I449" i="1"/>
  <c r="J596" i="1"/>
  <c r="L601" i="1"/>
  <c r="J249" i="1"/>
  <c r="L254" i="3"/>
  <c r="O254" i="3" s="1"/>
  <c r="N292" i="3"/>
  <c r="K345" i="3"/>
  <c r="K349" i="3"/>
  <c r="K499" i="3"/>
  <c r="K113" i="4"/>
  <c r="K138" i="4"/>
  <c r="J261" i="1"/>
  <c r="J265" i="1"/>
  <c r="J269" i="1"/>
  <c r="N312" i="4"/>
  <c r="N310" i="4" s="1"/>
  <c r="K372" i="4"/>
  <c r="K375" i="4"/>
  <c r="K419" i="4"/>
  <c r="K425" i="4"/>
  <c r="K428" i="4"/>
  <c r="K431" i="4"/>
  <c r="O457" i="4"/>
  <c r="K465" i="4"/>
  <c r="K474" i="4"/>
  <c r="K498" i="4"/>
  <c r="K547" i="4"/>
  <c r="J633" i="1"/>
  <c r="P45" i="5"/>
  <c r="K92" i="5"/>
  <c r="K111" i="5"/>
  <c r="N460" i="1"/>
  <c r="K465" i="5"/>
  <c r="K474" i="5"/>
  <c r="K533" i="5"/>
  <c r="O537" i="5"/>
  <c r="N572" i="1"/>
  <c r="K591" i="5"/>
  <c r="O599" i="5"/>
  <c r="K634" i="5"/>
  <c r="J652" i="1"/>
  <c r="J659" i="1"/>
  <c r="J560" i="1"/>
  <c r="J426" i="1"/>
  <c r="J429" i="1"/>
  <c r="J381" i="1"/>
  <c r="N389" i="1"/>
  <c r="J396" i="1"/>
  <c r="J400" i="1"/>
  <c r="N405" i="1"/>
  <c r="O601" i="6"/>
  <c r="J674" i="1"/>
  <c r="N96" i="7"/>
  <c r="N94" i="7" s="1"/>
  <c r="K381" i="7"/>
  <c r="K396" i="7"/>
  <c r="K455" i="7"/>
  <c r="O457" i="7"/>
  <c r="J480" i="1"/>
  <c r="J492" i="1"/>
  <c r="J504" i="1"/>
  <c r="J519" i="1"/>
  <c r="J525" i="1"/>
  <c r="J528" i="1"/>
  <c r="J531" i="1"/>
  <c r="N536" i="1"/>
  <c r="J551" i="1"/>
  <c r="N354" i="1"/>
  <c r="J360" i="1"/>
  <c r="J365" i="1"/>
  <c r="J378" i="1"/>
  <c r="P275" i="3"/>
  <c r="L294" i="3"/>
  <c r="O294" i="3" s="1"/>
  <c r="K111" i="4"/>
  <c r="L122" i="4"/>
  <c r="O122" i="4" s="1"/>
  <c r="P144" i="4"/>
  <c r="K199" i="4"/>
  <c r="L294" i="4"/>
  <c r="O294" i="4" s="1"/>
  <c r="L314" i="4"/>
  <c r="O314" i="4" s="1"/>
  <c r="N331" i="4"/>
  <c r="N329" i="4" s="1"/>
  <c r="K380" i="4"/>
  <c r="L34" i="4"/>
  <c r="K432" i="4"/>
  <c r="O435" i="4"/>
  <c r="K449" i="4"/>
  <c r="K466" i="4"/>
  <c r="K481" i="4"/>
  <c r="K499" i="4"/>
  <c r="K564" i="4"/>
  <c r="O566" i="4"/>
  <c r="N668" i="1"/>
  <c r="J676" i="1"/>
  <c r="K112" i="5"/>
  <c r="J138" i="1"/>
  <c r="K186" i="5"/>
  <c r="K213" i="5"/>
  <c r="N252" i="5"/>
  <c r="N250" i="5" s="1"/>
  <c r="N273" i="5"/>
  <c r="N271" i="5" s="1"/>
  <c r="K421" i="5"/>
  <c r="O533" i="5"/>
  <c r="K595" i="5"/>
  <c r="K189" i="6"/>
  <c r="K199" i="6"/>
  <c r="L254" i="6"/>
  <c r="L252" i="6" s="1"/>
  <c r="N273" i="6"/>
  <c r="N271" i="6" s="1"/>
  <c r="N312" i="6"/>
  <c r="N310" i="6" s="1"/>
  <c r="O455" i="6"/>
  <c r="P144" i="7"/>
  <c r="K201" i="7"/>
  <c r="M273" i="7"/>
  <c r="P273" i="7" s="1"/>
  <c r="K340" i="7"/>
  <c r="K343" i="7"/>
  <c r="O349" i="7"/>
  <c r="O352" i="7"/>
  <c r="I367" i="7"/>
  <c r="K367" i="7" s="1"/>
  <c r="K370" i="7"/>
  <c r="K376" i="7"/>
  <c r="K401" i="7"/>
  <c r="O435" i="7"/>
  <c r="K449" i="7"/>
  <c r="K466" i="7"/>
  <c r="K481" i="7"/>
  <c r="J501" i="1"/>
  <c r="N331" i="8"/>
  <c r="K425" i="8"/>
  <c r="K431" i="8"/>
  <c r="P70" i="9"/>
  <c r="N96" i="9"/>
  <c r="N94" i="9" s="1"/>
  <c r="K372" i="9"/>
  <c r="O533" i="9"/>
  <c r="N252" i="10"/>
  <c r="N250" i="10" s="1"/>
  <c r="K173" i="11"/>
  <c r="K381" i="11"/>
  <c r="O404" i="11"/>
  <c r="O455" i="11"/>
  <c r="N34" i="12"/>
  <c r="N14" i="12" s="1"/>
  <c r="K420" i="12"/>
  <c r="O597" i="13"/>
  <c r="L144" i="14"/>
  <c r="O144" i="14" s="1"/>
  <c r="K285" i="15"/>
  <c r="N61" i="1"/>
  <c r="J111" i="1"/>
  <c r="K417" i="8"/>
  <c r="K345" i="10"/>
  <c r="O354" i="10"/>
  <c r="K375" i="10"/>
  <c r="K398" i="10"/>
  <c r="N252" i="11"/>
  <c r="N250" i="11" s="1"/>
  <c r="L314" i="11"/>
  <c r="O314" i="11" s="1"/>
  <c r="K466" i="11"/>
  <c r="L122" i="12"/>
  <c r="L120" i="12" s="1"/>
  <c r="P224" i="12"/>
  <c r="L254" i="12"/>
  <c r="O254" i="12" s="1"/>
  <c r="N331" i="12"/>
  <c r="N329" i="12" s="1"/>
  <c r="O380" i="12"/>
  <c r="K173" i="13"/>
  <c r="N312" i="13"/>
  <c r="N310" i="13" s="1"/>
  <c r="O380" i="13"/>
  <c r="O568" i="13"/>
  <c r="M142" i="14"/>
  <c r="N331" i="14"/>
  <c r="N329" i="14" s="1"/>
  <c r="K264" i="15"/>
  <c r="K349" i="15"/>
  <c r="J595" i="1"/>
  <c r="K611" i="7"/>
  <c r="K617" i="7"/>
  <c r="K630" i="7"/>
  <c r="K345" i="8"/>
  <c r="O383" i="8"/>
  <c r="K398" i="8"/>
  <c r="O401" i="8"/>
  <c r="O404" i="8"/>
  <c r="K423" i="8"/>
  <c r="K376" i="9"/>
  <c r="K612" i="9"/>
  <c r="L254" i="10"/>
  <c r="O254" i="10" s="1"/>
  <c r="N292" i="10"/>
  <c r="N290" i="10" s="1"/>
  <c r="K343" i="10"/>
  <c r="K425" i="10"/>
  <c r="N31" i="10"/>
  <c r="N29" i="10" s="1"/>
  <c r="K533" i="10"/>
  <c r="O568" i="10"/>
  <c r="K573" i="10"/>
  <c r="N292" i="11"/>
  <c r="N290" i="11" s="1"/>
  <c r="P333" i="11"/>
  <c r="K380" i="11"/>
  <c r="K422" i="11"/>
  <c r="K425" i="11"/>
  <c r="O459" i="11"/>
  <c r="O599" i="11"/>
  <c r="L57" i="12"/>
  <c r="O57" i="12" s="1"/>
  <c r="K200" i="12"/>
  <c r="L224" i="12"/>
  <c r="O224" i="12" s="1"/>
  <c r="M312" i="12"/>
  <c r="P312" i="12" s="1"/>
  <c r="K372" i="12"/>
  <c r="O599" i="12"/>
  <c r="J174" i="1"/>
  <c r="O580" i="13"/>
  <c r="K132" i="14"/>
  <c r="P333" i="14"/>
  <c r="N142" i="15"/>
  <c r="N140" i="15" s="1"/>
  <c r="N222" i="15"/>
  <c r="N220" i="15" s="1"/>
  <c r="N252" i="15"/>
  <c r="N250" i="15" s="1"/>
  <c r="P275" i="15"/>
  <c r="J671" i="7"/>
  <c r="K132" i="8"/>
  <c r="K219" i="8"/>
  <c r="N252" i="8"/>
  <c r="N250" i="8" s="1"/>
  <c r="K430" i="8"/>
  <c r="J671" i="9"/>
  <c r="J651" i="10"/>
  <c r="N252" i="12"/>
  <c r="N250" i="12" s="1"/>
  <c r="N222" i="13"/>
  <c r="N220" i="13" s="1"/>
  <c r="K381" i="13"/>
  <c r="P224" i="15"/>
  <c r="K235" i="15"/>
  <c r="L275" i="15"/>
  <c r="O275" i="15" s="1"/>
  <c r="N312" i="15"/>
  <c r="N310" i="15" s="1"/>
  <c r="K435" i="15"/>
  <c r="K455" i="15"/>
  <c r="O457" i="15"/>
  <c r="O533" i="15"/>
  <c r="K615" i="7"/>
  <c r="K149" i="8"/>
  <c r="K189" i="8"/>
  <c r="L224" i="8"/>
  <c r="O224" i="8" s="1"/>
  <c r="K343" i="8"/>
  <c r="K381" i="8"/>
  <c r="K416" i="8"/>
  <c r="O459" i="8"/>
  <c r="O535" i="8"/>
  <c r="K629" i="8"/>
  <c r="K632" i="8"/>
  <c r="K635" i="8"/>
  <c r="N142" i="9"/>
  <c r="N140" i="9" s="1"/>
  <c r="K149" i="9"/>
  <c r="K164" i="9"/>
  <c r="K423" i="9"/>
  <c r="K429" i="9"/>
  <c r="O435" i="9"/>
  <c r="K635" i="9"/>
  <c r="J89" i="1"/>
  <c r="O347" i="10"/>
  <c r="K370" i="10"/>
  <c r="K380" i="10"/>
  <c r="O385" i="10"/>
  <c r="K401" i="10"/>
  <c r="K199" i="11"/>
  <c r="K229" i="11"/>
  <c r="O380" i="11"/>
  <c r="O385" i="11"/>
  <c r="K423" i="11"/>
  <c r="K431" i="11"/>
  <c r="P98" i="12"/>
  <c r="K380" i="12"/>
  <c r="O385" i="12"/>
  <c r="K431" i="12"/>
  <c r="O437" i="12"/>
  <c r="P45" i="13"/>
  <c r="K149" i="13"/>
  <c r="K158" i="13"/>
  <c r="K176" i="13"/>
  <c r="K425" i="13"/>
  <c r="O459" i="13"/>
  <c r="K497" i="13"/>
  <c r="O599" i="13"/>
  <c r="K158" i="14"/>
  <c r="K199" i="14"/>
  <c r="L224" i="14"/>
  <c r="O224" i="14" s="1"/>
  <c r="N292" i="14"/>
  <c r="N290" i="14" s="1"/>
  <c r="K340" i="14"/>
  <c r="L254" i="15"/>
  <c r="O254" i="15" s="1"/>
  <c r="L314" i="15"/>
  <c r="L312" i="15" s="1"/>
  <c r="K350" i="15"/>
  <c r="K429" i="15"/>
  <c r="L640" i="15"/>
  <c r="O640" i="15" s="1"/>
  <c r="J651" i="15"/>
  <c r="K628" i="10"/>
  <c r="I628" i="1"/>
  <c r="K372" i="11"/>
  <c r="I372" i="1"/>
  <c r="K432" i="10"/>
  <c r="I432" i="1"/>
  <c r="I429" i="1"/>
  <c r="I618" i="1"/>
  <c r="O318" i="7"/>
  <c r="L318" i="1"/>
  <c r="P333" i="7"/>
  <c r="M333" i="1"/>
  <c r="J368" i="1"/>
  <c r="I216" i="1"/>
  <c r="I418" i="1"/>
  <c r="I560" i="1"/>
  <c r="K560" i="1" s="1"/>
  <c r="L598" i="1"/>
  <c r="O598" i="1" s="1"/>
  <c r="P122" i="4"/>
  <c r="M120" i="4"/>
  <c r="N252" i="4"/>
  <c r="N250" i="4" s="1"/>
  <c r="N254" i="1"/>
  <c r="O438" i="10"/>
  <c r="L438" i="1"/>
  <c r="O438" i="1" s="1"/>
  <c r="K634" i="10"/>
  <c r="I634" i="1"/>
  <c r="K249" i="2"/>
  <c r="I249" i="1"/>
  <c r="K350" i="2"/>
  <c r="I350" i="1"/>
  <c r="O353" i="2"/>
  <c r="L353" i="1"/>
  <c r="L33" i="2"/>
  <c r="O33" i="2" s="1"/>
  <c r="J516" i="1"/>
  <c r="N533" i="1"/>
  <c r="I612" i="1"/>
  <c r="K113" i="6"/>
  <c r="I113" i="1"/>
  <c r="I108" i="1"/>
  <c r="N224" i="1"/>
  <c r="J135" i="1"/>
  <c r="L30" i="3"/>
  <c r="K371" i="10"/>
  <c r="I367" i="10"/>
  <c r="K367" i="10" s="1"/>
  <c r="I371" i="1"/>
  <c r="K371" i="1" s="1"/>
  <c r="K466" i="10"/>
  <c r="I466" i="1"/>
  <c r="K631" i="10"/>
  <c r="I631" i="1"/>
  <c r="K649" i="10"/>
  <c r="I649" i="1"/>
  <c r="K649" i="1" s="1"/>
  <c r="K369" i="11"/>
  <c r="I369" i="1"/>
  <c r="K375" i="11"/>
  <c r="I375" i="1"/>
  <c r="O383" i="11"/>
  <c r="N383" i="1"/>
  <c r="O552" i="11"/>
  <c r="L552" i="1"/>
  <c r="O552" i="1" s="1"/>
  <c r="O555" i="11"/>
  <c r="L555" i="1"/>
  <c r="O555" i="1" s="1"/>
  <c r="K270" i="2"/>
  <c r="I270" i="1"/>
  <c r="O385" i="2"/>
  <c r="N34" i="2"/>
  <c r="N14" i="2" s="1"/>
  <c r="N33" i="2"/>
  <c r="N13" i="2" s="1"/>
  <c r="N458" i="1"/>
  <c r="K478" i="2"/>
  <c r="I478" i="1"/>
  <c r="K478" i="1" s="1"/>
  <c r="J522" i="1"/>
  <c r="N541" i="1"/>
  <c r="I621" i="1"/>
  <c r="K158" i="7"/>
  <c r="J158" i="1"/>
  <c r="K324" i="7"/>
  <c r="I324" i="1"/>
  <c r="O49" i="8"/>
  <c r="L49" i="1"/>
  <c r="I84" i="1"/>
  <c r="K84" i="1" s="1"/>
  <c r="I109" i="1"/>
  <c r="N275" i="1"/>
  <c r="J398" i="1"/>
  <c r="L298" i="1"/>
  <c r="O298" i="1" s="1"/>
  <c r="I423" i="1"/>
  <c r="N459" i="1"/>
  <c r="I469" i="1"/>
  <c r="K469" i="1" s="1"/>
  <c r="I508" i="1"/>
  <c r="K508" i="1" s="1"/>
  <c r="K533" i="1"/>
  <c r="I577" i="1"/>
  <c r="K577" i="1" s="1"/>
  <c r="L580" i="1"/>
  <c r="I648" i="1"/>
  <c r="N312" i="2"/>
  <c r="N310" i="2" s="1"/>
  <c r="K369" i="2"/>
  <c r="I367" i="2"/>
  <c r="K367" i="2" s="1"/>
  <c r="O383" i="2"/>
  <c r="L32" i="2"/>
  <c r="L30" i="2" s="1"/>
  <c r="J673" i="1"/>
  <c r="L26" i="3"/>
  <c r="L16" i="3" s="1"/>
  <c r="N600" i="1"/>
  <c r="N33" i="3"/>
  <c r="N13" i="3" s="1"/>
  <c r="K630" i="3"/>
  <c r="I630" i="1"/>
  <c r="K633" i="3"/>
  <c r="I633" i="1"/>
  <c r="K633" i="1" s="1"/>
  <c r="O648" i="3"/>
  <c r="L648" i="1"/>
  <c r="O648" i="1" s="1"/>
  <c r="N555" i="1"/>
  <c r="P275" i="8"/>
  <c r="N273" i="8"/>
  <c r="P273" i="8" s="1"/>
  <c r="K371" i="8"/>
  <c r="I367" i="8"/>
  <c r="K367" i="8" s="1"/>
  <c r="O598" i="8"/>
  <c r="L31" i="8"/>
  <c r="L11" i="8" s="1"/>
  <c r="K450" i="1"/>
  <c r="L59" i="1"/>
  <c r="M22" i="2"/>
  <c r="M12" i="2" s="1"/>
  <c r="M70" i="1"/>
  <c r="K86" i="2"/>
  <c r="I86" i="1"/>
  <c r="N120" i="2"/>
  <c r="N126" i="1"/>
  <c r="K592" i="5"/>
  <c r="I592" i="1"/>
  <c r="K592" i="1" s="1"/>
  <c r="I306" i="1"/>
  <c r="I345" i="1"/>
  <c r="N380" i="1"/>
  <c r="O401" i="1"/>
  <c r="I417" i="1"/>
  <c r="L435" i="1"/>
  <c r="I502" i="1"/>
  <c r="K502" i="1" s="1"/>
  <c r="I573" i="1"/>
  <c r="L582" i="1"/>
  <c r="I632" i="1"/>
  <c r="I651" i="1"/>
  <c r="K651" i="1" s="1"/>
  <c r="P122" i="2"/>
  <c r="M122" i="1"/>
  <c r="P122" i="7"/>
  <c r="M120" i="7"/>
  <c r="N22" i="8"/>
  <c r="L31" i="2"/>
  <c r="L29" i="2" s="1"/>
  <c r="O457" i="2"/>
  <c r="N457" i="1"/>
  <c r="O457" i="1" s="1"/>
  <c r="K480" i="2"/>
  <c r="I480" i="1"/>
  <c r="K480" i="1" s="1"/>
  <c r="K483" i="2"/>
  <c r="I483" i="1"/>
  <c r="K483" i="1" s="1"/>
  <c r="K486" i="2"/>
  <c r="I486" i="1"/>
  <c r="K486" i="1" s="1"/>
  <c r="O597" i="2"/>
  <c r="L597" i="1"/>
  <c r="L122" i="3"/>
  <c r="L120" i="3" s="1"/>
  <c r="K164" i="3"/>
  <c r="I164" i="1"/>
  <c r="K186" i="3"/>
  <c r="N32" i="3"/>
  <c r="N30" i="3" s="1"/>
  <c r="O352" i="3"/>
  <c r="K435" i="3"/>
  <c r="J435" i="1"/>
  <c r="O651" i="5"/>
  <c r="L640" i="5"/>
  <c r="O640" i="5" s="1"/>
  <c r="O665" i="5"/>
  <c r="L665" i="1"/>
  <c r="O665" i="1" s="1"/>
  <c r="O668" i="5"/>
  <c r="L668" i="1"/>
  <c r="O668" i="1" s="1"/>
  <c r="N32" i="6"/>
  <c r="N30" i="6" s="1"/>
  <c r="O384" i="8"/>
  <c r="L33" i="8"/>
  <c r="O33" i="8" s="1"/>
  <c r="K83" i="10"/>
  <c r="I83" i="1"/>
  <c r="O568" i="1"/>
  <c r="L277" i="1"/>
  <c r="K368" i="2"/>
  <c r="I368" i="1"/>
  <c r="P102" i="3"/>
  <c r="L146" i="1"/>
  <c r="P314" i="4"/>
  <c r="M312" i="4"/>
  <c r="M310" i="4" s="1"/>
  <c r="P310" i="4" s="1"/>
  <c r="K650" i="4"/>
  <c r="I650" i="1"/>
  <c r="K113" i="5"/>
  <c r="J113" i="1"/>
  <c r="K266" i="5"/>
  <c r="I266" i="1"/>
  <c r="M292" i="5"/>
  <c r="P292" i="5" s="1"/>
  <c r="P294" i="5"/>
  <c r="K576" i="5"/>
  <c r="I576" i="1"/>
  <c r="K576" i="1" s="1"/>
  <c r="K579" i="6"/>
  <c r="I579" i="1"/>
  <c r="K579" i="1" s="1"/>
  <c r="O581" i="6"/>
  <c r="L581" i="1"/>
  <c r="O581" i="1" s="1"/>
  <c r="O584" i="6"/>
  <c r="L584" i="1"/>
  <c r="K589" i="6"/>
  <c r="I589" i="1"/>
  <c r="M250" i="15"/>
  <c r="P70" i="5"/>
  <c r="M68" i="5"/>
  <c r="P68" i="5" s="1"/>
  <c r="N31" i="6"/>
  <c r="N11" i="6" s="1"/>
  <c r="N9" i="6" s="1"/>
  <c r="P254" i="11"/>
  <c r="M252" i="11"/>
  <c r="M250" i="11" s="1"/>
  <c r="P250" i="11" s="1"/>
  <c r="O349" i="3"/>
  <c r="O405" i="3"/>
  <c r="L33" i="3"/>
  <c r="O33" i="3" s="1"/>
  <c r="P337" i="4"/>
  <c r="P275" i="5"/>
  <c r="M273" i="5"/>
  <c r="M271" i="5" s="1"/>
  <c r="P271" i="5" s="1"/>
  <c r="K482" i="6"/>
  <c r="J651" i="11"/>
  <c r="P70" i="12"/>
  <c r="M68" i="12"/>
  <c r="M66" i="12" s="1"/>
  <c r="P66" i="12" s="1"/>
  <c r="N55" i="3"/>
  <c r="N53" i="3" s="1"/>
  <c r="N22" i="3"/>
  <c r="P294" i="3"/>
  <c r="M292" i="3"/>
  <c r="M290" i="3" s="1"/>
  <c r="O382" i="3"/>
  <c r="L31" i="3"/>
  <c r="N32" i="4"/>
  <c r="N30" i="4" s="1"/>
  <c r="M252" i="5"/>
  <c r="M250" i="5" s="1"/>
  <c r="P250" i="5" s="1"/>
  <c r="P254" i="5"/>
  <c r="K618" i="5"/>
  <c r="K611" i="5"/>
  <c r="L23" i="6"/>
  <c r="O23" i="6" s="1"/>
  <c r="P98" i="11"/>
  <c r="M96" i="11"/>
  <c r="P96" i="11" s="1"/>
  <c r="O354" i="2"/>
  <c r="L34" i="2"/>
  <c r="N31" i="2"/>
  <c r="N29" i="2" s="1"/>
  <c r="J651" i="2"/>
  <c r="O671" i="2"/>
  <c r="L671" i="1"/>
  <c r="O671" i="1" s="1"/>
  <c r="N26" i="3"/>
  <c r="N16" i="3" s="1"/>
  <c r="M98" i="1"/>
  <c r="I111" i="1"/>
  <c r="I204" i="1"/>
  <c r="I213" i="1"/>
  <c r="L296" i="1"/>
  <c r="J402" i="1"/>
  <c r="I465" i="1"/>
  <c r="I468" i="1"/>
  <c r="K468" i="1" s="1"/>
  <c r="I471" i="1"/>
  <c r="K471" i="1" s="1"/>
  <c r="I477" i="1"/>
  <c r="K477" i="1" s="1"/>
  <c r="I489" i="1"/>
  <c r="K489" i="1" s="1"/>
  <c r="I492" i="1"/>
  <c r="K492" i="1" s="1"/>
  <c r="I495" i="1"/>
  <c r="K495" i="1" s="1"/>
  <c r="J589" i="1"/>
  <c r="K64" i="2"/>
  <c r="N96" i="2"/>
  <c r="N94" i="2" s="1"/>
  <c r="N26" i="2"/>
  <c r="N16" i="2" s="1"/>
  <c r="N142" i="2"/>
  <c r="P142" i="2" s="1"/>
  <c r="M292" i="4"/>
  <c r="K371" i="6"/>
  <c r="I367" i="6"/>
  <c r="K367" i="6" s="1"/>
  <c r="L144" i="2"/>
  <c r="L142" i="2" s="1"/>
  <c r="K164" i="2"/>
  <c r="K200" i="2"/>
  <c r="N220" i="2"/>
  <c r="L224" i="2"/>
  <c r="O224" i="2" s="1"/>
  <c r="K341" i="2"/>
  <c r="K420" i="2"/>
  <c r="K426" i="2"/>
  <c r="K432" i="2"/>
  <c r="K498" i="2"/>
  <c r="L24" i="3"/>
  <c r="O24" i="3" s="1"/>
  <c r="K343" i="3"/>
  <c r="K424" i="3"/>
  <c r="K264" i="4"/>
  <c r="O337" i="4"/>
  <c r="O404" i="4"/>
  <c r="O455" i="4"/>
  <c r="N292" i="5"/>
  <c r="N290" i="5" s="1"/>
  <c r="L333" i="5"/>
  <c r="O333" i="5" s="1"/>
  <c r="N34" i="5"/>
  <c r="N14" i="5" s="1"/>
  <c r="M66" i="6"/>
  <c r="P66" i="6" s="1"/>
  <c r="M252" i="6"/>
  <c r="P252" i="6" s="1"/>
  <c r="N33" i="6"/>
  <c r="N13" i="6" s="1"/>
  <c r="K401" i="6"/>
  <c r="K648" i="6"/>
  <c r="N644" i="6"/>
  <c r="N640" i="6" s="1"/>
  <c r="N638" i="6" s="1"/>
  <c r="N636" i="6" s="1"/>
  <c r="K173" i="7"/>
  <c r="K372" i="7"/>
  <c r="O406" i="7"/>
  <c r="K419" i="7"/>
  <c r="K435" i="7"/>
  <c r="O459" i="7"/>
  <c r="K533" i="7"/>
  <c r="O535" i="7"/>
  <c r="K632" i="7"/>
  <c r="N32" i="8"/>
  <c r="N30" i="8" s="1"/>
  <c r="K328" i="9"/>
  <c r="K341" i="10"/>
  <c r="O352" i="11"/>
  <c r="L32" i="11"/>
  <c r="L30" i="11" s="1"/>
  <c r="P45" i="12"/>
  <c r="M22" i="12"/>
  <c r="M12" i="12" s="1"/>
  <c r="L45" i="2"/>
  <c r="L43" i="2" s="1"/>
  <c r="L70" i="2"/>
  <c r="L68" i="2" s="1"/>
  <c r="L66" i="2" s="1"/>
  <c r="L24" i="2"/>
  <c r="O24" i="2" s="1"/>
  <c r="K324" i="2"/>
  <c r="N331" i="2"/>
  <c r="O347" i="2"/>
  <c r="K398" i="2"/>
  <c r="O401" i="2"/>
  <c r="O404" i="2"/>
  <c r="K421" i="2"/>
  <c r="K427" i="2"/>
  <c r="K499" i="2"/>
  <c r="K597" i="2"/>
  <c r="O599" i="2"/>
  <c r="K88" i="3"/>
  <c r="K108" i="3"/>
  <c r="K176" i="3"/>
  <c r="K189" i="3"/>
  <c r="L224" i="3"/>
  <c r="O224" i="3" s="1"/>
  <c r="L333" i="3"/>
  <c r="L331" i="3" s="1"/>
  <c r="L329" i="3" s="1"/>
  <c r="K341" i="3"/>
  <c r="K416" i="3"/>
  <c r="K419" i="3"/>
  <c r="K422" i="3"/>
  <c r="K425" i="3"/>
  <c r="K451" i="3"/>
  <c r="K465" i="3"/>
  <c r="O568" i="3"/>
  <c r="K573" i="3"/>
  <c r="O597" i="3"/>
  <c r="N55" i="4"/>
  <c r="N53" i="4" s="1"/>
  <c r="L70" i="4"/>
  <c r="O70" i="4" s="1"/>
  <c r="K109" i="4"/>
  <c r="K112" i="4"/>
  <c r="L144" i="4"/>
  <c r="L142" i="4" s="1"/>
  <c r="P224" i="4"/>
  <c r="K265" i="4"/>
  <c r="L275" i="4"/>
  <c r="O275" i="4" s="1"/>
  <c r="K328" i="4"/>
  <c r="L333" i="4"/>
  <c r="L331" i="4" s="1"/>
  <c r="L33" i="4"/>
  <c r="O33" i="4" s="1"/>
  <c r="K396" i="4"/>
  <c r="K430" i="4"/>
  <c r="K450" i="4"/>
  <c r="K464" i="4"/>
  <c r="K473" i="4"/>
  <c r="K482" i="4"/>
  <c r="K497" i="4"/>
  <c r="K533" i="4"/>
  <c r="O601" i="4"/>
  <c r="N43" i="5"/>
  <c r="N41" i="5" s="1"/>
  <c r="L98" i="5"/>
  <c r="O98" i="5" s="1"/>
  <c r="K110" i="5"/>
  <c r="K138" i="5"/>
  <c r="K176" i="5"/>
  <c r="K216" i="5"/>
  <c r="L275" i="5"/>
  <c r="L273" i="5" s="1"/>
  <c r="O273" i="5" s="1"/>
  <c r="O337" i="5"/>
  <c r="K341" i="5"/>
  <c r="O347" i="5"/>
  <c r="K398" i="5"/>
  <c r="O404" i="5"/>
  <c r="K429" i="5"/>
  <c r="O435" i="5"/>
  <c r="K547" i="5"/>
  <c r="O566" i="5"/>
  <c r="P57" i="6"/>
  <c r="P144" i="6"/>
  <c r="M312" i="6"/>
  <c r="P312" i="6" s="1"/>
  <c r="K466" i="6"/>
  <c r="K474" i="6"/>
  <c r="L333" i="7"/>
  <c r="O333" i="7" s="1"/>
  <c r="K420" i="7"/>
  <c r="O437" i="7"/>
  <c r="K633" i="7"/>
  <c r="N55" i="8"/>
  <c r="N53" i="8" s="1"/>
  <c r="N96" i="8"/>
  <c r="N94" i="8" s="1"/>
  <c r="K285" i="8"/>
  <c r="O337" i="8"/>
  <c r="K370" i="8"/>
  <c r="K380" i="8"/>
  <c r="O45" i="9"/>
  <c r="L224" i="9"/>
  <c r="O224" i="9" s="1"/>
  <c r="K474" i="3"/>
  <c r="K498" i="3"/>
  <c r="K350" i="4"/>
  <c r="K422" i="4"/>
  <c r="L275" i="6"/>
  <c r="O275" i="6" s="1"/>
  <c r="K418" i="6"/>
  <c r="K424" i="6"/>
  <c r="K430" i="6"/>
  <c r="K533" i="6"/>
  <c r="K219" i="7"/>
  <c r="K429" i="7"/>
  <c r="N644" i="7"/>
  <c r="N640" i="7" s="1"/>
  <c r="N638" i="7" s="1"/>
  <c r="N636" i="7" s="1"/>
  <c r="K133" i="8"/>
  <c r="K158" i="8"/>
  <c r="K328" i="8"/>
  <c r="K368" i="8"/>
  <c r="K614" i="8"/>
  <c r="L122" i="9"/>
  <c r="L120" i="9" s="1"/>
  <c r="K418" i="10"/>
  <c r="L34" i="11"/>
  <c r="M292" i="12"/>
  <c r="P292" i="12" s="1"/>
  <c r="P294" i="12"/>
  <c r="N312" i="12"/>
  <c r="N310" i="12" s="1"/>
  <c r="N26" i="12"/>
  <c r="N16" i="12" s="1"/>
  <c r="L23" i="2"/>
  <c r="L57" i="2"/>
  <c r="L55" i="2" s="1"/>
  <c r="N68" i="2"/>
  <c r="N66" i="2" s="1"/>
  <c r="P144" i="2"/>
  <c r="K149" i="2"/>
  <c r="K158" i="2"/>
  <c r="P224" i="2"/>
  <c r="L254" i="2"/>
  <c r="O254" i="2" s="1"/>
  <c r="L314" i="2"/>
  <c r="L312" i="2" s="1"/>
  <c r="L333" i="2"/>
  <c r="O333" i="2" s="1"/>
  <c r="O380" i="2"/>
  <c r="K416" i="2"/>
  <c r="K422" i="2"/>
  <c r="K428" i="2"/>
  <c r="O533" i="2"/>
  <c r="K619" i="2"/>
  <c r="N644" i="2"/>
  <c r="N640" i="2" s="1"/>
  <c r="N638" i="2" s="1"/>
  <c r="N636" i="2" s="1"/>
  <c r="P45" i="3"/>
  <c r="K109" i="3"/>
  <c r="K117" i="3"/>
  <c r="N273" i="3"/>
  <c r="N271" i="3" s="1"/>
  <c r="N312" i="3"/>
  <c r="P312" i="3" s="1"/>
  <c r="O347" i="3"/>
  <c r="K368" i="3"/>
  <c r="K377" i="3"/>
  <c r="O380" i="3"/>
  <c r="O383" i="3"/>
  <c r="K398" i="3"/>
  <c r="K481" i="3"/>
  <c r="K533" i="3"/>
  <c r="K93" i="4"/>
  <c r="N142" i="4"/>
  <c r="N140" i="4" s="1"/>
  <c r="L224" i="4"/>
  <c r="L222" i="4" s="1"/>
  <c r="K266" i="4"/>
  <c r="K349" i="4"/>
  <c r="K377" i="4"/>
  <c r="N31" i="4"/>
  <c r="N11" i="4" s="1"/>
  <c r="N9" i="4" s="1"/>
  <c r="K401" i="4"/>
  <c r="O406" i="4"/>
  <c r="K420" i="4"/>
  <c r="K423" i="4"/>
  <c r="O568" i="4"/>
  <c r="O597" i="4"/>
  <c r="K630" i="4"/>
  <c r="N96" i="5"/>
  <c r="N94" i="5" s="1"/>
  <c r="K164" i="5"/>
  <c r="K422" i="5"/>
  <c r="O439" i="5"/>
  <c r="O535" i="5"/>
  <c r="K625" i="5"/>
  <c r="L70" i="6"/>
  <c r="O70" i="6" s="1"/>
  <c r="L122" i="6"/>
  <c r="L120" i="6" s="1"/>
  <c r="L144" i="6"/>
  <c r="L142" i="6" s="1"/>
  <c r="N222" i="6"/>
  <c r="N220" i="6" s="1"/>
  <c r="L333" i="6"/>
  <c r="L331" i="6" s="1"/>
  <c r="L329" i="6" s="1"/>
  <c r="K419" i="6"/>
  <c r="K425" i="6"/>
  <c r="K431" i="6"/>
  <c r="K435" i="6"/>
  <c r="K455" i="6"/>
  <c r="K564" i="6"/>
  <c r="O568" i="6"/>
  <c r="K573" i="6"/>
  <c r="L98" i="7"/>
  <c r="L96" i="7" s="1"/>
  <c r="L122" i="7"/>
  <c r="L120" i="7" s="1"/>
  <c r="K189" i="7"/>
  <c r="K229" i="7"/>
  <c r="K235" i="7"/>
  <c r="L294" i="7"/>
  <c r="O294" i="7" s="1"/>
  <c r="K368" i="7"/>
  <c r="K421" i="7"/>
  <c r="K430" i="7"/>
  <c r="K628" i="7"/>
  <c r="K634" i="7"/>
  <c r="N68" i="8"/>
  <c r="P224" i="8"/>
  <c r="O455" i="8"/>
  <c r="K377" i="9"/>
  <c r="O380" i="9"/>
  <c r="K481" i="9"/>
  <c r="N32" i="10"/>
  <c r="N30" i="10" s="1"/>
  <c r="P122" i="12"/>
  <c r="M120" i="12"/>
  <c r="M118" i="12" s="1"/>
  <c r="P118" i="12" s="1"/>
  <c r="O380" i="8"/>
  <c r="K429" i="8"/>
  <c r="K432" i="8"/>
  <c r="K455" i="8"/>
  <c r="K466" i="8"/>
  <c r="O533" i="8"/>
  <c r="O597" i="8"/>
  <c r="K618" i="8"/>
  <c r="K631" i="8"/>
  <c r="K108" i="9"/>
  <c r="K189" i="9"/>
  <c r="K199" i="9"/>
  <c r="L254" i="9"/>
  <c r="L252" i="9" s="1"/>
  <c r="L250" i="9" s="1"/>
  <c r="K266" i="9"/>
  <c r="N312" i="9"/>
  <c r="N310" i="9" s="1"/>
  <c r="K368" i="9"/>
  <c r="K401" i="9"/>
  <c r="O406" i="9"/>
  <c r="K466" i="9"/>
  <c r="K497" i="9"/>
  <c r="O564" i="9"/>
  <c r="O601" i="9"/>
  <c r="K630" i="9"/>
  <c r="N644" i="9"/>
  <c r="N640" i="9" s="1"/>
  <c r="N638" i="9" s="1"/>
  <c r="N636" i="9" s="1"/>
  <c r="N43" i="10"/>
  <c r="N41" i="10" s="1"/>
  <c r="O49" i="10"/>
  <c r="N26" i="10"/>
  <c r="N16" i="10" s="1"/>
  <c r="O337" i="10"/>
  <c r="K420" i="10"/>
  <c r="K428" i="10"/>
  <c r="O437" i="10"/>
  <c r="N33" i="10"/>
  <c r="N13" i="10" s="1"/>
  <c r="P57" i="11"/>
  <c r="K340" i="11"/>
  <c r="K401" i="11"/>
  <c r="O406" i="11"/>
  <c r="N43" i="12"/>
  <c r="N41" i="12" s="1"/>
  <c r="N68" i="12"/>
  <c r="N66" i="12" s="1"/>
  <c r="M252" i="14"/>
  <c r="P252" i="14" s="1"/>
  <c r="P254" i="14"/>
  <c r="O599" i="9"/>
  <c r="K628" i="9"/>
  <c r="N120" i="10"/>
  <c r="N118" i="10" s="1"/>
  <c r="P144" i="10"/>
  <c r="L275" i="10"/>
  <c r="L273" i="10" s="1"/>
  <c r="L314" i="10"/>
  <c r="L312" i="10" s="1"/>
  <c r="O312" i="10" s="1"/>
  <c r="M337" i="10"/>
  <c r="P337" i="10" s="1"/>
  <c r="O349" i="10"/>
  <c r="O401" i="10"/>
  <c r="K426" i="10"/>
  <c r="K547" i="10"/>
  <c r="K597" i="10"/>
  <c r="M66" i="11"/>
  <c r="P66" i="11" s="1"/>
  <c r="N120" i="11"/>
  <c r="N118" i="11" s="1"/>
  <c r="N142" i="11"/>
  <c r="N140" i="11" s="1"/>
  <c r="K341" i="11"/>
  <c r="K420" i="11"/>
  <c r="K432" i="11"/>
  <c r="O435" i="11"/>
  <c r="K464" i="11"/>
  <c r="K473" i="11"/>
  <c r="O564" i="11"/>
  <c r="O597" i="11"/>
  <c r="L70" i="12"/>
  <c r="L68" i="12" s="1"/>
  <c r="O436" i="14"/>
  <c r="L31" i="14"/>
  <c r="O31" i="14" s="1"/>
  <c r="N26" i="15"/>
  <c r="N16" i="15" s="1"/>
  <c r="K419" i="8"/>
  <c r="K422" i="8"/>
  <c r="K428" i="8"/>
  <c r="K450" i="8"/>
  <c r="K482" i="8"/>
  <c r="K498" i="8"/>
  <c r="O568" i="8"/>
  <c r="K573" i="8"/>
  <c r="K80" i="9"/>
  <c r="K83" i="9"/>
  <c r="K267" i="9"/>
  <c r="N331" i="9"/>
  <c r="N329" i="9" s="1"/>
  <c r="K398" i="9"/>
  <c r="K421" i="9"/>
  <c r="K427" i="9"/>
  <c r="K498" i="9"/>
  <c r="O537" i="9"/>
  <c r="P224" i="10"/>
  <c r="M292" i="10"/>
  <c r="N331" i="10"/>
  <c r="N329" i="10" s="1"/>
  <c r="K350" i="10"/>
  <c r="K372" i="10"/>
  <c r="K427" i="10"/>
  <c r="K449" i="10"/>
  <c r="P70" i="11"/>
  <c r="L122" i="11"/>
  <c r="O122" i="11" s="1"/>
  <c r="K219" i="11"/>
  <c r="K416" i="11"/>
  <c r="K428" i="11"/>
  <c r="O439" i="11"/>
  <c r="K450" i="11"/>
  <c r="K482" i="11"/>
  <c r="K547" i="11"/>
  <c r="N34" i="11"/>
  <c r="N14" i="11" s="1"/>
  <c r="O601" i="11"/>
  <c r="P49" i="12"/>
  <c r="N222" i="12"/>
  <c r="P222" i="12" s="1"/>
  <c r="N222" i="14"/>
  <c r="N220" i="14" s="1"/>
  <c r="O406" i="14"/>
  <c r="K377" i="8"/>
  <c r="K420" i="8"/>
  <c r="K499" i="8"/>
  <c r="O599" i="8"/>
  <c r="K633" i="8"/>
  <c r="K64" i="9"/>
  <c r="K110" i="9"/>
  <c r="N120" i="9"/>
  <c r="N118" i="9" s="1"/>
  <c r="K219" i="9"/>
  <c r="K340" i="9"/>
  <c r="K343" i="9"/>
  <c r="K402" i="9"/>
  <c r="K416" i="9"/>
  <c r="K422" i="9"/>
  <c r="K428" i="9"/>
  <c r="K435" i="9"/>
  <c r="O437" i="9"/>
  <c r="K533" i="9"/>
  <c r="K564" i="9"/>
  <c r="K580" i="9"/>
  <c r="O582" i="9"/>
  <c r="K616" i="9"/>
  <c r="N96" i="10"/>
  <c r="N94" i="10" s="1"/>
  <c r="K219" i="10"/>
  <c r="K229" i="10"/>
  <c r="L24" i="10"/>
  <c r="O24" i="10" s="1"/>
  <c r="L333" i="10"/>
  <c r="O333" i="10" s="1"/>
  <c r="N26" i="11"/>
  <c r="N16" i="11" s="1"/>
  <c r="L70" i="11"/>
  <c r="O70" i="11" s="1"/>
  <c r="K426" i="11"/>
  <c r="O537" i="11"/>
  <c r="O568" i="11"/>
  <c r="K573" i="11"/>
  <c r="P144" i="13"/>
  <c r="O405" i="13"/>
  <c r="L33" i="13"/>
  <c r="O33" i="13" s="1"/>
  <c r="O404" i="14"/>
  <c r="N142" i="12"/>
  <c r="N140" i="12" s="1"/>
  <c r="K229" i="12"/>
  <c r="N292" i="12"/>
  <c r="N290" i="12" s="1"/>
  <c r="K328" i="12"/>
  <c r="K419" i="12"/>
  <c r="K422" i="12"/>
  <c r="K430" i="12"/>
  <c r="O597" i="12"/>
  <c r="L70" i="13"/>
  <c r="L68" i="13" s="1"/>
  <c r="O68" i="13" s="1"/>
  <c r="O148" i="13"/>
  <c r="N33" i="13"/>
  <c r="N13" i="13" s="1"/>
  <c r="K455" i="13"/>
  <c r="K481" i="13"/>
  <c r="K564" i="13"/>
  <c r="O566" i="13"/>
  <c r="L70" i="14"/>
  <c r="L68" i="14" s="1"/>
  <c r="M96" i="14"/>
  <c r="P96" i="14" s="1"/>
  <c r="M292" i="14"/>
  <c r="L294" i="14"/>
  <c r="L292" i="14" s="1"/>
  <c r="O292" i="14" s="1"/>
  <c r="K397" i="14"/>
  <c r="K417" i="14"/>
  <c r="N33" i="14"/>
  <c r="N13" i="14" s="1"/>
  <c r="K306" i="15"/>
  <c r="K426" i="15"/>
  <c r="K92" i="12"/>
  <c r="K158" i="12"/>
  <c r="N33" i="12"/>
  <c r="N13" i="12" s="1"/>
  <c r="K401" i="12"/>
  <c r="O406" i="12"/>
  <c r="K417" i="12"/>
  <c r="K435" i="12"/>
  <c r="O439" i="12"/>
  <c r="O566" i="12"/>
  <c r="N55" i="13"/>
  <c r="N53" i="13" s="1"/>
  <c r="K270" i="13"/>
  <c r="N273" i="13"/>
  <c r="P273" i="13" s="1"/>
  <c r="O337" i="13"/>
  <c r="K465" i="13"/>
  <c r="K474" i="13"/>
  <c r="N43" i="14"/>
  <c r="N41" i="14" s="1"/>
  <c r="K285" i="14"/>
  <c r="O337" i="14"/>
  <c r="K343" i="14"/>
  <c r="K435" i="14"/>
  <c r="L32" i="14"/>
  <c r="L30" i="14" s="1"/>
  <c r="O457" i="14"/>
  <c r="O537" i="14"/>
  <c r="O566" i="14"/>
  <c r="N34" i="14"/>
  <c r="N14" i="14" s="1"/>
  <c r="N55" i="15"/>
  <c r="P55" i="15" s="1"/>
  <c r="N68" i="15"/>
  <c r="N120" i="15"/>
  <c r="N118" i="15" s="1"/>
  <c r="K270" i="15"/>
  <c r="O352" i="15"/>
  <c r="K402" i="15"/>
  <c r="K427" i="15"/>
  <c r="K449" i="15"/>
  <c r="K498" i="15"/>
  <c r="O568" i="15"/>
  <c r="O564" i="12"/>
  <c r="J671" i="12"/>
  <c r="K185" i="13"/>
  <c r="K289" i="13"/>
  <c r="K309" i="13"/>
  <c r="O383" i="13"/>
  <c r="K533" i="13"/>
  <c r="O535" i="13"/>
  <c r="K173" i="12"/>
  <c r="L294" i="12"/>
  <c r="K426" i="12"/>
  <c r="K533" i="12"/>
  <c r="O535" i="12"/>
  <c r="K631" i="12"/>
  <c r="K186" i="13"/>
  <c r="L224" i="13"/>
  <c r="N252" i="13"/>
  <c r="N250" i="13" s="1"/>
  <c r="N292" i="13"/>
  <c r="N290" i="13" s="1"/>
  <c r="N34" i="13"/>
  <c r="N14" i="13" s="1"/>
  <c r="N68" i="14"/>
  <c r="N66" i="14" s="1"/>
  <c r="N96" i="14"/>
  <c r="N94" i="14" s="1"/>
  <c r="O401" i="14"/>
  <c r="O455" i="14"/>
  <c r="M68" i="15"/>
  <c r="M66" i="15" s="1"/>
  <c r="P66" i="15" s="1"/>
  <c r="L144" i="15"/>
  <c r="O144" i="15" s="1"/>
  <c r="K199" i="15"/>
  <c r="M298" i="15"/>
  <c r="M298" i="1" s="1"/>
  <c r="P298" i="1" s="1"/>
  <c r="K304" i="15"/>
  <c r="K309" i="15"/>
  <c r="K345" i="15"/>
  <c r="O380" i="15"/>
  <c r="K450" i="15"/>
  <c r="K418" i="12"/>
  <c r="K432" i="12"/>
  <c r="K573" i="12"/>
  <c r="O601" i="12"/>
  <c r="L45" i="13"/>
  <c r="L43" i="13" s="1"/>
  <c r="L98" i="13"/>
  <c r="O98" i="13" s="1"/>
  <c r="K133" i="13"/>
  <c r="L24" i="13"/>
  <c r="K340" i="13"/>
  <c r="K343" i="13"/>
  <c r="O349" i="13"/>
  <c r="K370" i="13"/>
  <c r="K376" i="13"/>
  <c r="K380" i="13"/>
  <c r="K499" i="13"/>
  <c r="N273" i="14"/>
  <c r="N271" i="14" s="1"/>
  <c r="N312" i="14"/>
  <c r="N310" i="14" s="1"/>
  <c r="K430" i="14"/>
  <c r="K466" i="14"/>
  <c r="K481" i="14"/>
  <c r="K597" i="14"/>
  <c r="N31" i="14"/>
  <c r="N29" i="14" s="1"/>
  <c r="K132" i="15"/>
  <c r="K249" i="15"/>
  <c r="L333" i="15"/>
  <c r="O333" i="15" s="1"/>
  <c r="K340" i="15"/>
  <c r="K372" i="15"/>
  <c r="K375" i="15"/>
  <c r="K398" i="15"/>
  <c r="K417" i="15"/>
  <c r="K431" i="15"/>
  <c r="O459" i="15"/>
  <c r="K464" i="15"/>
  <c r="O537" i="15"/>
  <c r="O597" i="15"/>
  <c r="K65" i="2"/>
  <c r="K201" i="2"/>
  <c r="K219" i="2"/>
  <c r="P252" i="2"/>
  <c r="M68" i="2"/>
  <c r="M66" i="2" s="1"/>
  <c r="P70" i="2"/>
  <c r="K81" i="2"/>
  <c r="M96" i="2"/>
  <c r="P96" i="2" s="1"/>
  <c r="M120" i="2"/>
  <c r="M118" i="2" s="1"/>
  <c r="K189" i="2"/>
  <c r="K199" i="2"/>
  <c r="M222" i="2"/>
  <c r="K309" i="2"/>
  <c r="O318" i="2"/>
  <c r="O337" i="2"/>
  <c r="L26" i="2"/>
  <c r="P45" i="2"/>
  <c r="P55" i="2"/>
  <c r="M140" i="2"/>
  <c r="K173" i="2"/>
  <c r="L275" i="2"/>
  <c r="L273" i="2" s="1"/>
  <c r="M312" i="2"/>
  <c r="M310" i="2" s="1"/>
  <c r="K597" i="1"/>
  <c r="N140" i="2"/>
  <c r="K235" i="2"/>
  <c r="K289" i="2"/>
  <c r="P298" i="2"/>
  <c r="K397" i="2"/>
  <c r="K401" i="2"/>
  <c r="O406" i="2"/>
  <c r="K464" i="2"/>
  <c r="K473" i="2"/>
  <c r="K533" i="2"/>
  <c r="O535" i="2"/>
  <c r="O584" i="2"/>
  <c r="K630" i="2"/>
  <c r="M26" i="3"/>
  <c r="M22" i="3"/>
  <c r="M12" i="3" s="1"/>
  <c r="K64" i="3"/>
  <c r="P70" i="3"/>
  <c r="K112" i="3"/>
  <c r="K133" i="3"/>
  <c r="K185" i="3"/>
  <c r="N252" i="3"/>
  <c r="N250" i="3" s="1"/>
  <c r="K264" i="3"/>
  <c r="K267" i="3"/>
  <c r="M310" i="3"/>
  <c r="K418" i="3"/>
  <c r="K421" i="3"/>
  <c r="K429" i="3"/>
  <c r="K432" i="3"/>
  <c r="O435" i="3"/>
  <c r="O455" i="3"/>
  <c r="K482" i="3"/>
  <c r="L23" i="4"/>
  <c r="O23" i="4" s="1"/>
  <c r="M68" i="4"/>
  <c r="K149" i="4"/>
  <c r="K158" i="4"/>
  <c r="K201" i="4"/>
  <c r="P254" i="4"/>
  <c r="M273" i="4"/>
  <c r="P273" i="4" s="1"/>
  <c r="K368" i="4"/>
  <c r="K381" i="4"/>
  <c r="K398" i="4"/>
  <c r="K417" i="4"/>
  <c r="K429" i="4"/>
  <c r="K435" i="4"/>
  <c r="O437" i="4"/>
  <c r="K573" i="4"/>
  <c r="K597" i="4"/>
  <c r="K109" i="5"/>
  <c r="K185" i="5"/>
  <c r="K189" i="5"/>
  <c r="L254" i="5"/>
  <c r="N312" i="5"/>
  <c r="N310" i="5" s="1"/>
  <c r="K449" i="5"/>
  <c r="O459" i="5"/>
  <c r="K597" i="5"/>
  <c r="O439" i="2"/>
  <c r="K450" i="2"/>
  <c r="K481" i="2"/>
  <c r="M250" i="3"/>
  <c r="K396" i="3"/>
  <c r="N644" i="3"/>
  <c r="N640" i="3" s="1"/>
  <c r="N638" i="3" s="1"/>
  <c r="N636" i="3" s="1"/>
  <c r="M96" i="4"/>
  <c r="M94" i="4" s="1"/>
  <c r="M142" i="4"/>
  <c r="M140" i="4" s="1"/>
  <c r="N220" i="4"/>
  <c r="N34" i="4"/>
  <c r="N14" i="4" s="1"/>
  <c r="N26" i="5"/>
  <c r="N16" i="5" s="1"/>
  <c r="K618" i="2"/>
  <c r="K628" i="2"/>
  <c r="L640" i="2"/>
  <c r="O640" i="2" s="1"/>
  <c r="K65" i="3"/>
  <c r="L70" i="3"/>
  <c r="N96" i="3"/>
  <c r="N94" i="3" s="1"/>
  <c r="M120" i="3"/>
  <c r="L144" i="3"/>
  <c r="O144" i="3" s="1"/>
  <c r="M273" i="3"/>
  <c r="K466" i="3"/>
  <c r="N22" i="4"/>
  <c r="N26" i="4"/>
  <c r="N16" i="4" s="1"/>
  <c r="O352" i="4"/>
  <c r="O354" i="4"/>
  <c r="J671" i="4"/>
  <c r="M120" i="5"/>
  <c r="P120" i="5" s="1"/>
  <c r="L122" i="5"/>
  <c r="O122" i="5" s="1"/>
  <c r="K173" i="5"/>
  <c r="M41" i="7"/>
  <c r="K547" i="2"/>
  <c r="K564" i="2"/>
  <c r="K616" i="2"/>
  <c r="K634" i="2"/>
  <c r="O102" i="3"/>
  <c r="K304" i="3"/>
  <c r="K376" i="3"/>
  <c r="K464" i="3"/>
  <c r="M53" i="4"/>
  <c r="O384" i="4"/>
  <c r="M312" i="5"/>
  <c r="I367" i="5"/>
  <c r="K367" i="5" s="1"/>
  <c r="P314" i="2"/>
  <c r="K340" i="2"/>
  <c r="K343" i="2"/>
  <c r="K396" i="2"/>
  <c r="K402" i="2"/>
  <c r="K455" i="2"/>
  <c r="K466" i="2"/>
  <c r="K482" i="2"/>
  <c r="K497" i="2"/>
  <c r="O537" i="2"/>
  <c r="O564" i="2"/>
  <c r="O580" i="2"/>
  <c r="K614" i="2"/>
  <c r="K635" i="2"/>
  <c r="M66" i="3"/>
  <c r="K93" i="3"/>
  <c r="K132" i="3"/>
  <c r="K138" i="3"/>
  <c r="K249" i="3"/>
  <c r="K266" i="3"/>
  <c r="K270" i="3"/>
  <c r="K324" i="3"/>
  <c r="K397" i="3"/>
  <c r="K417" i="3"/>
  <c r="K420" i="3"/>
  <c r="K423" i="3"/>
  <c r="K428" i="3"/>
  <c r="K431" i="3"/>
  <c r="O439" i="3"/>
  <c r="K455" i="3"/>
  <c r="O457" i="3"/>
  <c r="K547" i="3"/>
  <c r="K628" i="3"/>
  <c r="K634" i="3"/>
  <c r="P57" i="4"/>
  <c r="N96" i="4"/>
  <c r="N94" i="4" s="1"/>
  <c r="L98" i="4"/>
  <c r="P102" i="4"/>
  <c r="O126" i="4"/>
  <c r="M222" i="4"/>
  <c r="K235" i="4"/>
  <c r="I367" i="4"/>
  <c r="K367" i="4" s="1"/>
  <c r="K370" i="4"/>
  <c r="O385" i="4"/>
  <c r="K397" i="4"/>
  <c r="K421" i="4"/>
  <c r="O439" i="4"/>
  <c r="K455" i="4"/>
  <c r="L57" i="5"/>
  <c r="K108" i="5"/>
  <c r="K149" i="5"/>
  <c r="K200" i="5"/>
  <c r="K204" i="5"/>
  <c r="K612" i="2"/>
  <c r="M331" i="4"/>
  <c r="M220" i="6"/>
  <c r="L314" i="5"/>
  <c r="K340" i="5"/>
  <c r="K343" i="5"/>
  <c r="N31" i="5"/>
  <c r="K402" i="5"/>
  <c r="O437" i="5"/>
  <c r="K466" i="5"/>
  <c r="K481" i="5"/>
  <c r="K619" i="5"/>
  <c r="K635" i="5"/>
  <c r="N43" i="6"/>
  <c r="N41" i="6" s="1"/>
  <c r="M142" i="6"/>
  <c r="K200" i="6"/>
  <c r="P224" i="6"/>
  <c r="K235" i="6"/>
  <c r="P275" i="6"/>
  <c r="K345" i="6"/>
  <c r="K397" i="6"/>
  <c r="K421" i="6"/>
  <c r="K427" i="6"/>
  <c r="O439" i="6"/>
  <c r="O533" i="6"/>
  <c r="K618" i="6"/>
  <c r="K630" i="6"/>
  <c r="K633" i="6"/>
  <c r="O649" i="6"/>
  <c r="K200" i="7"/>
  <c r="P314" i="7"/>
  <c r="M312" i="7"/>
  <c r="P312" i="7" s="1"/>
  <c r="N331" i="7"/>
  <c r="N329" i="7" s="1"/>
  <c r="K341" i="7"/>
  <c r="O347" i="7"/>
  <c r="K350" i="7"/>
  <c r="K380" i="7"/>
  <c r="O401" i="7"/>
  <c r="O404" i="7"/>
  <c r="K417" i="7"/>
  <c r="O455" i="7"/>
  <c r="N33" i="7"/>
  <c r="N13" i="7" s="1"/>
  <c r="K617" i="5"/>
  <c r="L45" i="6"/>
  <c r="L43" i="6" s="1"/>
  <c r="O43" i="6" s="1"/>
  <c r="L57" i="6"/>
  <c r="O57" i="6" s="1"/>
  <c r="L314" i="6"/>
  <c r="L312" i="6" s="1"/>
  <c r="O312" i="6" s="1"/>
  <c r="P333" i="6"/>
  <c r="K343" i="6"/>
  <c r="K473" i="6"/>
  <c r="O254" i="7"/>
  <c r="L252" i="7"/>
  <c r="K564" i="5"/>
  <c r="K615" i="5"/>
  <c r="K631" i="5"/>
  <c r="K158" i="6"/>
  <c r="K628" i="6"/>
  <c r="K631" i="6"/>
  <c r="K634" i="6"/>
  <c r="O648" i="6"/>
  <c r="P98" i="7"/>
  <c r="M96" i="7"/>
  <c r="P96" i="7" s="1"/>
  <c r="K431" i="7"/>
  <c r="K613" i="5"/>
  <c r="K629" i="5"/>
  <c r="K380" i="6"/>
  <c r="O401" i="6"/>
  <c r="K416" i="6"/>
  <c r="K422" i="6"/>
  <c r="K428" i="6"/>
  <c r="O459" i="6"/>
  <c r="K481" i="6"/>
  <c r="O566" i="6"/>
  <c r="P57" i="7"/>
  <c r="M55" i="7"/>
  <c r="M53" i="7" s="1"/>
  <c r="L224" i="7"/>
  <c r="K375" i="7"/>
  <c r="K432" i="7"/>
  <c r="K465" i="7"/>
  <c r="K474" i="7"/>
  <c r="O533" i="7"/>
  <c r="K219" i="6"/>
  <c r="N33" i="5"/>
  <c r="N13" i="5" s="1"/>
  <c r="O401" i="5"/>
  <c r="K450" i="5"/>
  <c r="O455" i="5"/>
  <c r="N32" i="5"/>
  <c r="N30" i="5" s="1"/>
  <c r="K621" i="5"/>
  <c r="O49" i="6"/>
  <c r="L24" i="6"/>
  <c r="O24" i="6" s="1"/>
  <c r="M120" i="6"/>
  <c r="P120" i="6" s="1"/>
  <c r="O347" i="6"/>
  <c r="K420" i="6"/>
  <c r="K426" i="6"/>
  <c r="K432" i="6"/>
  <c r="O457" i="6"/>
  <c r="K649" i="6"/>
  <c r="P45" i="7"/>
  <c r="N43" i="7"/>
  <c r="P43" i="7" s="1"/>
  <c r="N66" i="7"/>
  <c r="P70" i="7"/>
  <c r="M68" i="7"/>
  <c r="M142" i="7"/>
  <c r="M252" i="7"/>
  <c r="M250" i="7" s="1"/>
  <c r="P250" i="7" s="1"/>
  <c r="N271" i="7"/>
  <c r="K427" i="7"/>
  <c r="J671" i="6"/>
  <c r="K345" i="7"/>
  <c r="K349" i="7"/>
  <c r="O354" i="7"/>
  <c r="O380" i="7"/>
  <c r="K402" i="7"/>
  <c r="K425" i="7"/>
  <c r="K612" i="7"/>
  <c r="K614" i="7"/>
  <c r="K616" i="7"/>
  <c r="K620" i="7"/>
  <c r="K622" i="7"/>
  <c r="K624" i="7"/>
  <c r="K626" i="7"/>
  <c r="M96" i="8"/>
  <c r="P96" i="8" s="1"/>
  <c r="N142" i="8"/>
  <c r="P142" i="8" s="1"/>
  <c r="N271" i="8"/>
  <c r="P271" i="8" s="1"/>
  <c r="M292" i="8"/>
  <c r="M312" i="8"/>
  <c r="P312" i="8" s="1"/>
  <c r="K349" i="8"/>
  <c r="K376" i="8"/>
  <c r="K397" i="8"/>
  <c r="O406" i="8"/>
  <c r="K421" i="8"/>
  <c r="K449" i="8"/>
  <c r="K533" i="8"/>
  <c r="K547" i="8"/>
  <c r="N644" i="8"/>
  <c r="N640" i="8" s="1"/>
  <c r="N638" i="8" s="1"/>
  <c r="N636" i="8" s="1"/>
  <c r="O61" i="9"/>
  <c r="L26" i="9"/>
  <c r="K464" i="7"/>
  <c r="K473" i="7"/>
  <c r="K482" i="7"/>
  <c r="O564" i="7"/>
  <c r="O597" i="7"/>
  <c r="L34" i="8"/>
  <c r="M68" i="8"/>
  <c r="P122" i="8"/>
  <c r="K164" i="8"/>
  <c r="K173" i="8"/>
  <c r="K270" i="8"/>
  <c r="L294" i="8"/>
  <c r="L314" i="8"/>
  <c r="O314" i="8" s="1"/>
  <c r="K435" i="8"/>
  <c r="K464" i="8"/>
  <c r="K473" i="8"/>
  <c r="K481" i="8"/>
  <c r="K619" i="8"/>
  <c r="K422" i="10"/>
  <c r="K200" i="11"/>
  <c r="L24" i="12"/>
  <c r="O24" i="12" s="1"/>
  <c r="P144" i="12"/>
  <c r="M142" i="12"/>
  <c r="N26" i="8"/>
  <c r="N16" i="8" s="1"/>
  <c r="O122" i="12"/>
  <c r="K547" i="7"/>
  <c r="O601" i="7"/>
  <c r="K621" i="7"/>
  <c r="K623" i="7"/>
  <c r="M41" i="8"/>
  <c r="P45" i="8"/>
  <c r="L24" i="8"/>
  <c r="O24" i="8" s="1"/>
  <c r="L122" i="8"/>
  <c r="O122" i="8" s="1"/>
  <c r="K200" i="8"/>
  <c r="N220" i="8"/>
  <c r="P220" i="8" s="1"/>
  <c r="L331" i="8"/>
  <c r="L329" i="8" s="1"/>
  <c r="O354" i="8"/>
  <c r="N33" i="8"/>
  <c r="N13" i="8" s="1"/>
  <c r="K427" i="8"/>
  <c r="K465" i="8"/>
  <c r="K474" i="8"/>
  <c r="K564" i="8"/>
  <c r="O566" i="8"/>
  <c r="K628" i="8"/>
  <c r="P122" i="9"/>
  <c r="M120" i="9"/>
  <c r="P224" i="9"/>
  <c r="M222" i="9"/>
  <c r="P222" i="9" s="1"/>
  <c r="O598" i="10"/>
  <c r="L31" i="10"/>
  <c r="L11" i="10" s="1"/>
  <c r="O11" i="10" s="1"/>
  <c r="K597" i="11"/>
  <c r="L57" i="8"/>
  <c r="L55" i="8" s="1"/>
  <c r="L53" i="8" s="1"/>
  <c r="O53" i="8" s="1"/>
  <c r="P222" i="8"/>
  <c r="K229" i="8"/>
  <c r="L254" i="8"/>
  <c r="O254" i="8" s="1"/>
  <c r="L275" i="8"/>
  <c r="L273" i="8" s="1"/>
  <c r="O273" i="8" s="1"/>
  <c r="K340" i="8"/>
  <c r="O352" i="8"/>
  <c r="K396" i="8"/>
  <c r="K497" i="8"/>
  <c r="O564" i="8"/>
  <c r="L292" i="10"/>
  <c r="K158" i="11"/>
  <c r="M55" i="12"/>
  <c r="M53" i="12" s="1"/>
  <c r="P57" i="12"/>
  <c r="K625" i="8"/>
  <c r="K626" i="8"/>
  <c r="K620" i="8"/>
  <c r="K622" i="8"/>
  <c r="P254" i="12"/>
  <c r="M252" i="12"/>
  <c r="P252" i="12" s="1"/>
  <c r="L33" i="15"/>
  <c r="O33" i="15" s="1"/>
  <c r="O554" i="15"/>
  <c r="N68" i="9"/>
  <c r="P68" i="9" s="1"/>
  <c r="P144" i="9"/>
  <c r="K265" i="9"/>
  <c r="P333" i="9"/>
  <c r="K345" i="9"/>
  <c r="K349" i="9"/>
  <c r="O354" i="9"/>
  <c r="K380" i="9"/>
  <c r="K397" i="9"/>
  <c r="K419" i="9"/>
  <c r="K425" i="9"/>
  <c r="K431" i="9"/>
  <c r="N33" i="9"/>
  <c r="N13" i="9" s="1"/>
  <c r="K482" i="9"/>
  <c r="K591" i="9"/>
  <c r="K597" i="9"/>
  <c r="K614" i="9"/>
  <c r="K626" i="9"/>
  <c r="N55" i="10"/>
  <c r="N53" i="10" s="1"/>
  <c r="M66" i="10"/>
  <c r="P66" i="10" s="1"/>
  <c r="M96" i="10"/>
  <c r="P96" i="10" s="1"/>
  <c r="K235" i="10"/>
  <c r="K368" i="10"/>
  <c r="K381" i="10"/>
  <c r="N55" i="11"/>
  <c r="P55" i="11" s="1"/>
  <c r="M120" i="11"/>
  <c r="L144" i="11"/>
  <c r="L142" i="11" s="1"/>
  <c r="K164" i="11"/>
  <c r="P224" i="11"/>
  <c r="K235" i="11"/>
  <c r="M273" i="11"/>
  <c r="P273" i="11" s="1"/>
  <c r="K402" i="11"/>
  <c r="L32" i="12"/>
  <c r="M102" i="12"/>
  <c r="P102" i="12" s="1"/>
  <c r="O102" i="12"/>
  <c r="P224" i="13"/>
  <c r="M222" i="13"/>
  <c r="K426" i="13"/>
  <c r="K432" i="13"/>
  <c r="O598" i="13"/>
  <c r="L31" i="13"/>
  <c r="L11" i="13" s="1"/>
  <c r="K634" i="8"/>
  <c r="K111" i="9"/>
  <c r="K158" i="9"/>
  <c r="K420" i="9"/>
  <c r="K426" i="9"/>
  <c r="K432" i="9"/>
  <c r="N31" i="9"/>
  <c r="K624" i="9"/>
  <c r="K149" i="10"/>
  <c r="K340" i="10"/>
  <c r="O352" i="10"/>
  <c r="K402" i="10"/>
  <c r="K423" i="10"/>
  <c r="O435" i="10"/>
  <c r="K564" i="10"/>
  <c r="L640" i="10"/>
  <c r="L638" i="10" s="1"/>
  <c r="M53" i="11"/>
  <c r="K189" i="11"/>
  <c r="N222" i="11"/>
  <c r="N220" i="11" s="1"/>
  <c r="L275" i="11"/>
  <c r="O275" i="11" s="1"/>
  <c r="M292" i="11"/>
  <c r="P292" i="11" s="1"/>
  <c r="N331" i="11"/>
  <c r="N329" i="11" s="1"/>
  <c r="N33" i="11"/>
  <c r="N13" i="11" s="1"/>
  <c r="K397" i="11"/>
  <c r="K449" i="11"/>
  <c r="K533" i="11"/>
  <c r="O535" i="11"/>
  <c r="K564" i="11"/>
  <c r="L640" i="11"/>
  <c r="O640" i="11" s="1"/>
  <c r="K164" i="12"/>
  <c r="K199" i="12"/>
  <c r="L23" i="13"/>
  <c r="O23" i="13" s="1"/>
  <c r="K304" i="13"/>
  <c r="O318" i="13"/>
  <c r="M318" i="13"/>
  <c r="N26" i="9"/>
  <c r="N16" i="9" s="1"/>
  <c r="P142" i="9"/>
  <c r="P314" i="9"/>
  <c r="O349" i="9"/>
  <c r="O352" i="9"/>
  <c r="I367" i="9"/>
  <c r="K367" i="9" s="1"/>
  <c r="K417" i="9"/>
  <c r="K473" i="9"/>
  <c r="K589" i="9"/>
  <c r="K595" i="9"/>
  <c r="K622" i="9"/>
  <c r="J651" i="9"/>
  <c r="O383" i="12"/>
  <c r="K423" i="12"/>
  <c r="L333" i="13"/>
  <c r="L331" i="13" s="1"/>
  <c r="K630" i="8"/>
  <c r="L57" i="9"/>
  <c r="O57" i="9" s="1"/>
  <c r="K65" i="9"/>
  <c r="K81" i="9"/>
  <c r="K92" i="9"/>
  <c r="K173" i="9"/>
  <c r="K264" i="9"/>
  <c r="M273" i="9"/>
  <c r="L314" i="9"/>
  <c r="O314" i="9" s="1"/>
  <c r="K375" i="9"/>
  <c r="O401" i="9"/>
  <c r="O404" i="9"/>
  <c r="K418" i="9"/>
  <c r="K424" i="9"/>
  <c r="K430" i="9"/>
  <c r="K455" i="9"/>
  <c r="O457" i="9"/>
  <c r="K620" i="9"/>
  <c r="M142" i="10"/>
  <c r="M140" i="10" s="1"/>
  <c r="P333" i="10"/>
  <c r="K349" i="10"/>
  <c r="K397" i="10"/>
  <c r="K419" i="10"/>
  <c r="K431" i="10"/>
  <c r="O439" i="10"/>
  <c r="M312" i="11"/>
  <c r="O347" i="11"/>
  <c r="K398" i="11"/>
  <c r="O401" i="11"/>
  <c r="K474" i="11"/>
  <c r="O533" i="11"/>
  <c r="P333" i="12"/>
  <c r="M331" i="12"/>
  <c r="P254" i="13"/>
  <c r="M252" i="13"/>
  <c r="P252" i="13" s="1"/>
  <c r="P294" i="13"/>
  <c r="M292" i="13"/>
  <c r="O352" i="13"/>
  <c r="L32" i="13"/>
  <c r="L30" i="13" s="1"/>
  <c r="O30" i="13" s="1"/>
  <c r="O650" i="8"/>
  <c r="N22" i="9"/>
  <c r="L24" i="9"/>
  <c r="O24" i="9" s="1"/>
  <c r="K200" i="9"/>
  <c r="L275" i="9"/>
  <c r="L273" i="9" s="1"/>
  <c r="K341" i="9"/>
  <c r="O347" i="9"/>
  <c r="K350" i="9"/>
  <c r="K449" i="9"/>
  <c r="O455" i="9"/>
  <c r="K465" i="9"/>
  <c r="K474" i="9"/>
  <c r="K499" i="9"/>
  <c r="K593" i="9"/>
  <c r="K618" i="9"/>
  <c r="K634" i="9"/>
  <c r="O380" i="10"/>
  <c r="O383" i="10"/>
  <c r="K417" i="10"/>
  <c r="K429" i="10"/>
  <c r="K435" i="10"/>
  <c r="K629" i="10"/>
  <c r="K635" i="10"/>
  <c r="P49" i="11"/>
  <c r="L98" i="11"/>
  <c r="O98" i="11" s="1"/>
  <c r="K149" i="11"/>
  <c r="L333" i="11"/>
  <c r="L331" i="11" s="1"/>
  <c r="K345" i="11"/>
  <c r="K435" i="11"/>
  <c r="O437" i="11"/>
  <c r="K629" i="11"/>
  <c r="K632" i="11"/>
  <c r="L45" i="12"/>
  <c r="L43" i="12" s="1"/>
  <c r="L98" i="12"/>
  <c r="O98" i="12" s="1"/>
  <c r="K113" i="12"/>
  <c r="K381" i="12"/>
  <c r="K416" i="13"/>
  <c r="K422" i="13"/>
  <c r="K428" i="13"/>
  <c r="N55" i="12"/>
  <c r="K93" i="12"/>
  <c r="M220" i="12"/>
  <c r="K345" i="12"/>
  <c r="K349" i="12"/>
  <c r="O354" i="12"/>
  <c r="K397" i="12"/>
  <c r="K416" i="12"/>
  <c r="K428" i="12"/>
  <c r="K449" i="12"/>
  <c r="O459" i="12"/>
  <c r="O568" i="12"/>
  <c r="P122" i="13"/>
  <c r="N26" i="13"/>
  <c r="N16" i="13" s="1"/>
  <c r="K132" i="13"/>
  <c r="K189" i="13"/>
  <c r="K199" i="13"/>
  <c r="K229" i="13"/>
  <c r="K235" i="13"/>
  <c r="L275" i="13"/>
  <c r="O275" i="13" s="1"/>
  <c r="K397" i="13"/>
  <c r="K473" i="13"/>
  <c r="O537" i="13"/>
  <c r="K573" i="13"/>
  <c r="K580" i="13"/>
  <c r="O582" i="13"/>
  <c r="K597" i="13"/>
  <c r="K474" i="14"/>
  <c r="O564" i="14"/>
  <c r="K158" i="15"/>
  <c r="N31" i="15"/>
  <c r="N41" i="13"/>
  <c r="P41" i="13" s="1"/>
  <c r="L254" i="13"/>
  <c r="L252" i="13" s="1"/>
  <c r="K285" i="13"/>
  <c r="K306" i="13"/>
  <c r="P314" i="13"/>
  <c r="K341" i="13"/>
  <c r="O347" i="13"/>
  <c r="K350" i="13"/>
  <c r="K368" i="13"/>
  <c r="K377" i="13"/>
  <c r="O439" i="13"/>
  <c r="K450" i="13"/>
  <c r="K595" i="13"/>
  <c r="K628" i="13"/>
  <c r="K631" i="13"/>
  <c r="K634" i="13"/>
  <c r="P70" i="14"/>
  <c r="M68" i="14"/>
  <c r="K219" i="14"/>
  <c r="P98" i="15"/>
  <c r="M22" i="15"/>
  <c r="M12" i="15" s="1"/>
  <c r="L333" i="12"/>
  <c r="O333" i="12" s="1"/>
  <c r="K340" i="12"/>
  <c r="K343" i="12"/>
  <c r="O349" i="12"/>
  <c r="O352" i="12"/>
  <c r="I367" i="12"/>
  <c r="K367" i="12" s="1"/>
  <c r="K424" i="12"/>
  <c r="K450" i="12"/>
  <c r="O455" i="12"/>
  <c r="L24" i="15"/>
  <c r="O24" i="15" s="1"/>
  <c r="L45" i="15"/>
  <c r="K371" i="15"/>
  <c r="I367" i="15"/>
  <c r="K367" i="15" s="1"/>
  <c r="K235" i="12"/>
  <c r="L275" i="12"/>
  <c r="O275" i="12" s="1"/>
  <c r="O404" i="12"/>
  <c r="O537" i="12"/>
  <c r="K629" i="12"/>
  <c r="K635" i="12"/>
  <c r="L122" i="13"/>
  <c r="K200" i="13"/>
  <c r="P275" i="13"/>
  <c r="L314" i="13"/>
  <c r="L312" i="13" s="1"/>
  <c r="K372" i="13"/>
  <c r="K375" i="13"/>
  <c r="K435" i="13"/>
  <c r="O437" i="13"/>
  <c r="O564" i="13"/>
  <c r="K591" i="13"/>
  <c r="K629" i="13"/>
  <c r="K635" i="13"/>
  <c r="N644" i="13"/>
  <c r="N640" i="13" s="1"/>
  <c r="N638" i="13" s="1"/>
  <c r="N636" i="13" s="1"/>
  <c r="K450" i="14"/>
  <c r="K547" i="14"/>
  <c r="K350" i="12"/>
  <c r="P43" i="13"/>
  <c r="K117" i="13"/>
  <c r="N31" i="13"/>
  <c r="K396" i="13"/>
  <c r="K402" i="13"/>
  <c r="K466" i="13"/>
  <c r="K482" i="13"/>
  <c r="O533" i="13"/>
  <c r="O584" i="13"/>
  <c r="K589" i="13"/>
  <c r="P120" i="14"/>
  <c r="K464" i="14"/>
  <c r="K482" i="14"/>
  <c r="O568" i="14"/>
  <c r="N34" i="15"/>
  <c r="N14" i="15" s="1"/>
  <c r="O406" i="15"/>
  <c r="L24" i="14"/>
  <c r="O24" i="14" s="1"/>
  <c r="L98" i="14"/>
  <c r="L96" i="14" s="1"/>
  <c r="O96" i="14" s="1"/>
  <c r="L122" i="14"/>
  <c r="L254" i="14"/>
  <c r="L252" i="14" s="1"/>
  <c r="I367" i="14"/>
  <c r="K367" i="14" s="1"/>
  <c r="K380" i="14"/>
  <c r="K427" i="14"/>
  <c r="N644" i="14"/>
  <c r="N640" i="14" s="1"/>
  <c r="N638" i="14" s="1"/>
  <c r="N636" i="14" s="1"/>
  <c r="L26" i="15"/>
  <c r="L16" i="15" s="1"/>
  <c r="O566" i="15"/>
  <c r="L26" i="14"/>
  <c r="K117" i="14"/>
  <c r="K270" i="14"/>
  <c r="M337" i="14"/>
  <c r="K628" i="14"/>
  <c r="N66" i="15"/>
  <c r="L98" i="15"/>
  <c r="O98" i="15" s="1"/>
  <c r="P144" i="15"/>
  <c r="K173" i="15"/>
  <c r="K266" i="15"/>
  <c r="N32" i="15"/>
  <c r="N30" i="15" s="1"/>
  <c r="O564" i="15"/>
  <c r="K164" i="14"/>
  <c r="K173" i="14"/>
  <c r="K229" i="14"/>
  <c r="K533" i="14"/>
  <c r="J671" i="14"/>
  <c r="O49" i="15"/>
  <c r="O148" i="15"/>
  <c r="K229" i="15"/>
  <c r="K267" i="15"/>
  <c r="O435" i="15"/>
  <c r="K497" i="15"/>
  <c r="K629" i="15"/>
  <c r="K635" i="15"/>
  <c r="J671" i="13"/>
  <c r="N26" i="14"/>
  <c r="N16" i="14" s="1"/>
  <c r="L275" i="14"/>
  <c r="O275" i="14" s="1"/>
  <c r="K328" i="14"/>
  <c r="O439" i="14"/>
  <c r="K455" i="14"/>
  <c r="N32" i="14"/>
  <c r="N30" i="14" s="1"/>
  <c r="O30" i="14" s="1"/>
  <c r="N331" i="15"/>
  <c r="N329" i="15" s="1"/>
  <c r="J651" i="13"/>
  <c r="M118" i="14"/>
  <c r="P118" i="14" s="1"/>
  <c r="P122" i="14"/>
  <c r="K133" i="14"/>
  <c r="K200" i="14"/>
  <c r="N22" i="14"/>
  <c r="N20" i="14" s="1"/>
  <c r="N18" i="14" s="1"/>
  <c r="L333" i="14"/>
  <c r="L331" i="14" s="1"/>
  <c r="O383" i="14"/>
  <c r="K419" i="14"/>
  <c r="K431" i="14"/>
  <c r="O533" i="14"/>
  <c r="K630" i="14"/>
  <c r="K265" i="15"/>
  <c r="N273" i="15"/>
  <c r="P314" i="15"/>
  <c r="K324" i="15"/>
  <c r="P333" i="15"/>
  <c r="N33" i="15"/>
  <c r="N13" i="15" s="1"/>
  <c r="K380" i="15"/>
  <c r="O401" i="15"/>
  <c r="O439" i="15"/>
  <c r="K573" i="15"/>
  <c r="K630" i="15"/>
  <c r="O19" i="3"/>
  <c r="P19" i="1"/>
  <c r="P29" i="1"/>
  <c r="P250" i="2"/>
  <c r="M28" i="3"/>
  <c r="P28" i="3" s="1"/>
  <c r="P29" i="3"/>
  <c r="N310" i="3"/>
  <c r="O42" i="1"/>
  <c r="P19" i="2"/>
  <c r="P21" i="1"/>
  <c r="O42" i="2"/>
  <c r="M53" i="2"/>
  <c r="P57" i="2"/>
  <c r="O119" i="2"/>
  <c r="P141" i="2"/>
  <c r="P311" i="2"/>
  <c r="P318" i="2"/>
  <c r="M13" i="3"/>
  <c r="P13" i="3" s="1"/>
  <c r="L41" i="3"/>
  <c r="N43" i="3"/>
  <c r="N41" i="3" s="1"/>
  <c r="O45" i="3"/>
  <c r="M55" i="3"/>
  <c r="M96" i="3"/>
  <c r="M142" i="3"/>
  <c r="K200" i="3"/>
  <c r="P251" i="3"/>
  <c r="P314" i="3"/>
  <c r="O537" i="3"/>
  <c r="K631" i="3"/>
  <c r="M22" i="4"/>
  <c r="O49" i="4"/>
  <c r="L26" i="4"/>
  <c r="L57" i="4"/>
  <c r="K110" i="4"/>
  <c r="O251" i="4"/>
  <c r="P272" i="4"/>
  <c r="O456" i="4"/>
  <c r="L31" i="4"/>
  <c r="L11" i="4" s="1"/>
  <c r="O535" i="4"/>
  <c r="K629" i="4"/>
  <c r="K635" i="4"/>
  <c r="N644" i="4"/>
  <c r="N640" i="4" s="1"/>
  <c r="N638" i="4" s="1"/>
  <c r="N636" i="4" s="1"/>
  <c r="P9" i="5"/>
  <c r="M26" i="6"/>
  <c r="P49" i="6"/>
  <c r="O122" i="6"/>
  <c r="P311" i="7"/>
  <c r="O19" i="1"/>
  <c r="M30" i="1"/>
  <c r="P30" i="1" s="1"/>
  <c r="O54" i="1"/>
  <c r="M337" i="2"/>
  <c r="O648" i="2"/>
  <c r="M19" i="3"/>
  <c r="M41" i="3"/>
  <c r="O298" i="3"/>
  <c r="P23" i="4"/>
  <c r="M13" i="4"/>
  <c r="P13" i="4" s="1"/>
  <c r="O275" i="5"/>
  <c r="O352" i="5"/>
  <c r="L32" i="5"/>
  <c r="M9" i="2"/>
  <c r="O258" i="2"/>
  <c r="N292" i="2"/>
  <c r="N290" i="2" s="1"/>
  <c r="K611" i="2"/>
  <c r="K613" i="2"/>
  <c r="K615" i="2"/>
  <c r="K617" i="2"/>
  <c r="K621" i="2"/>
  <c r="K623" i="2"/>
  <c r="K625" i="2"/>
  <c r="M11" i="3"/>
  <c r="L23" i="3"/>
  <c r="P57" i="3"/>
  <c r="K201" i="3"/>
  <c r="K328" i="3"/>
  <c r="O535" i="3"/>
  <c r="K629" i="3"/>
  <c r="K635" i="3"/>
  <c r="L19" i="4"/>
  <c r="O21" i="4"/>
  <c r="M28" i="4"/>
  <c r="P28" i="4" s="1"/>
  <c r="P29" i="4"/>
  <c r="M43" i="4"/>
  <c r="P45" i="4"/>
  <c r="K108" i="4"/>
  <c r="K189" i="4"/>
  <c r="K219" i="4"/>
  <c r="O383" i="4"/>
  <c r="L32" i="4"/>
  <c r="O533" i="4"/>
  <c r="K618" i="4"/>
  <c r="M22" i="6"/>
  <c r="P98" i="6"/>
  <c r="M96" i="6"/>
  <c r="L96" i="4"/>
  <c r="O98" i="4"/>
  <c r="M250" i="4"/>
  <c r="M29" i="6"/>
  <c r="P31" i="6"/>
  <c r="M11" i="6"/>
  <c r="O385" i="6"/>
  <c r="L34" i="6"/>
  <c r="O458" i="6"/>
  <c r="L33" i="6"/>
  <c r="O33" i="6" s="1"/>
  <c r="K626" i="6"/>
  <c r="K624" i="6"/>
  <c r="K622" i="6"/>
  <c r="K620" i="6"/>
  <c r="K625" i="6"/>
  <c r="K623" i="6"/>
  <c r="K621" i="6"/>
  <c r="O405" i="9"/>
  <c r="L33" i="9"/>
  <c r="O33" i="9" s="1"/>
  <c r="P19" i="10"/>
  <c r="O298" i="2"/>
  <c r="M15" i="3"/>
  <c r="P15" i="3" s="1"/>
  <c r="L34" i="3"/>
  <c r="K173" i="3"/>
  <c r="K199" i="3"/>
  <c r="O228" i="3"/>
  <c r="K285" i="3"/>
  <c r="O291" i="3"/>
  <c r="P333" i="3"/>
  <c r="O437" i="3"/>
  <c r="O533" i="3"/>
  <c r="K618" i="3"/>
  <c r="K626" i="3"/>
  <c r="K624" i="3"/>
  <c r="K622" i="3"/>
  <c r="K620" i="3"/>
  <c r="K625" i="3"/>
  <c r="K623" i="3"/>
  <c r="K621" i="3"/>
  <c r="O665" i="3"/>
  <c r="L640" i="3"/>
  <c r="P9" i="4"/>
  <c r="O318" i="4"/>
  <c r="O537" i="4"/>
  <c r="K631" i="4"/>
  <c r="N55" i="5"/>
  <c r="N53" i="5" s="1"/>
  <c r="P53" i="5" s="1"/>
  <c r="N22" i="5"/>
  <c r="P57" i="5"/>
  <c r="N222" i="5"/>
  <c r="P224" i="5"/>
  <c r="K620" i="2"/>
  <c r="K622" i="2"/>
  <c r="K624" i="2"/>
  <c r="L24" i="4"/>
  <c r="O258" i="4"/>
  <c r="O311" i="4"/>
  <c r="L45" i="5"/>
  <c r="L23" i="5"/>
  <c r="O54" i="5"/>
  <c r="P291" i="5"/>
  <c r="M290" i="5"/>
  <c r="P290" i="5" s="1"/>
  <c r="P42" i="5"/>
  <c r="M41" i="5"/>
  <c r="O95" i="5"/>
  <c r="O102" i="5"/>
  <c r="M102" i="5"/>
  <c r="L26" i="5"/>
  <c r="N644" i="5"/>
  <c r="N640" i="5" s="1"/>
  <c r="N638" i="5" s="1"/>
  <c r="N636" i="5" s="1"/>
  <c r="P24" i="6"/>
  <c r="M14" i="6"/>
  <c r="P14" i="6" s="1"/>
  <c r="K611" i="3"/>
  <c r="K613" i="3"/>
  <c r="K615" i="3"/>
  <c r="K617" i="3"/>
  <c r="K619" i="3"/>
  <c r="K611" i="4"/>
  <c r="K613" i="4"/>
  <c r="K615" i="4"/>
  <c r="K617" i="4"/>
  <c r="K619" i="4"/>
  <c r="K621" i="4"/>
  <c r="K623" i="4"/>
  <c r="K625" i="4"/>
  <c r="L640" i="4"/>
  <c r="M29" i="5"/>
  <c r="P31" i="5"/>
  <c r="M22" i="5"/>
  <c r="P98" i="5"/>
  <c r="M142" i="5"/>
  <c r="O148" i="5"/>
  <c r="P221" i="5"/>
  <c r="M220" i="5"/>
  <c r="O380" i="5"/>
  <c r="K432" i="5"/>
  <c r="O567" i="5"/>
  <c r="L33" i="5"/>
  <c r="O33" i="5" s="1"/>
  <c r="O597" i="5"/>
  <c r="O54" i="6"/>
  <c r="N55" i="6"/>
  <c r="N53" i="6" s="1"/>
  <c r="N22" i="6"/>
  <c r="O95" i="6"/>
  <c r="O102" i="6"/>
  <c r="L26" i="6"/>
  <c r="K396" i="6"/>
  <c r="O435" i="6"/>
  <c r="O535" i="6"/>
  <c r="L24" i="5"/>
  <c r="O354" i="5"/>
  <c r="L34" i="5"/>
  <c r="K430" i="5"/>
  <c r="O565" i="5"/>
  <c r="L31" i="5"/>
  <c r="P119" i="6"/>
  <c r="O383" i="7"/>
  <c r="N32" i="7"/>
  <c r="N30" i="7" s="1"/>
  <c r="M26" i="8"/>
  <c r="M331" i="8"/>
  <c r="P337" i="8"/>
  <c r="K612" i="3"/>
  <c r="K614" i="3"/>
  <c r="K616" i="3"/>
  <c r="K612" i="4"/>
  <c r="K614" i="4"/>
  <c r="K616" i="4"/>
  <c r="K620" i="4"/>
  <c r="K622" i="4"/>
  <c r="K624" i="4"/>
  <c r="M14" i="5"/>
  <c r="P14" i="5" s="1"/>
  <c r="L19" i="5"/>
  <c r="P67" i="5"/>
  <c r="L70" i="5"/>
  <c r="O141" i="5"/>
  <c r="O330" i="5"/>
  <c r="K426" i="5"/>
  <c r="K173" i="6"/>
  <c r="O383" i="6"/>
  <c r="L32" i="6"/>
  <c r="N34" i="6"/>
  <c r="N14" i="6" s="1"/>
  <c r="L24" i="7"/>
  <c r="L45" i="7"/>
  <c r="N312" i="7"/>
  <c r="N310" i="7" s="1"/>
  <c r="M26" i="4"/>
  <c r="O57" i="5"/>
  <c r="L55" i="5"/>
  <c r="P119" i="5"/>
  <c r="K424" i="5"/>
  <c r="O601" i="5"/>
  <c r="M53" i="6"/>
  <c r="N26" i="6"/>
  <c r="N16" i="6" s="1"/>
  <c r="K398" i="6"/>
  <c r="O437" i="6"/>
  <c r="O456" i="6"/>
  <c r="L31" i="6"/>
  <c r="O537" i="6"/>
  <c r="K612" i="5"/>
  <c r="K614" i="5"/>
  <c r="K616" i="5"/>
  <c r="K620" i="5"/>
  <c r="K622" i="5"/>
  <c r="K624" i="5"/>
  <c r="M43" i="6"/>
  <c r="M271" i="6"/>
  <c r="P271" i="6" s="1"/>
  <c r="K199" i="7"/>
  <c r="M220" i="7"/>
  <c r="M22" i="7"/>
  <c r="P224" i="7"/>
  <c r="O353" i="7"/>
  <c r="L33" i="7"/>
  <c r="O33" i="7" s="1"/>
  <c r="O648" i="7"/>
  <c r="L640" i="7"/>
  <c r="M140" i="8"/>
  <c r="P141" i="8"/>
  <c r="P34" i="9"/>
  <c r="M14" i="9"/>
  <c r="P14" i="9" s="1"/>
  <c r="M250" i="6"/>
  <c r="P250" i="6" s="1"/>
  <c r="O665" i="6"/>
  <c r="L640" i="6"/>
  <c r="K138" i="7"/>
  <c r="O566" i="7"/>
  <c r="L32" i="7"/>
  <c r="K597" i="7"/>
  <c r="L26" i="8"/>
  <c r="N43" i="8"/>
  <c r="N41" i="8" s="1"/>
  <c r="M55" i="8"/>
  <c r="M53" i="8" s="1"/>
  <c r="M22" i="8"/>
  <c r="P57" i="8"/>
  <c r="O119" i="8"/>
  <c r="P144" i="8"/>
  <c r="N31" i="8"/>
  <c r="P294" i="9"/>
  <c r="M292" i="9"/>
  <c r="P292" i="9" s="1"/>
  <c r="M337" i="5"/>
  <c r="P251" i="7"/>
  <c r="N26" i="7"/>
  <c r="N16" i="7" s="1"/>
  <c r="M292" i="7"/>
  <c r="P292" i="7" s="1"/>
  <c r="O351" i="7"/>
  <c r="L31" i="7"/>
  <c r="O385" i="7"/>
  <c r="N34" i="7"/>
  <c r="N14" i="7" s="1"/>
  <c r="L70" i="8"/>
  <c r="L23" i="8"/>
  <c r="M118" i="8"/>
  <c r="M30" i="6"/>
  <c r="P30" i="6" s="1"/>
  <c r="P23" i="7"/>
  <c r="M13" i="7"/>
  <c r="P13" i="7" s="1"/>
  <c r="L57" i="7"/>
  <c r="L23" i="7"/>
  <c r="O228" i="7"/>
  <c r="L26" i="7"/>
  <c r="N22" i="7"/>
  <c r="O291" i="7"/>
  <c r="P330" i="8"/>
  <c r="P333" i="8"/>
  <c r="M55" i="9"/>
  <c r="M22" i="9"/>
  <c r="P57" i="9"/>
  <c r="O221" i="7"/>
  <c r="O568" i="7"/>
  <c r="L34" i="7"/>
  <c r="M19" i="8"/>
  <c r="P21" i="8"/>
  <c r="M11" i="8"/>
  <c r="O42" i="8"/>
  <c r="N329" i="8"/>
  <c r="O42" i="9"/>
  <c r="P141" i="10"/>
  <c r="K402" i="8"/>
  <c r="L98" i="9"/>
  <c r="O221" i="9"/>
  <c r="M250" i="9"/>
  <c r="P251" i="9"/>
  <c r="O383" i="9"/>
  <c r="N32" i="9"/>
  <c r="N30" i="9" s="1"/>
  <c r="P9" i="7"/>
  <c r="M41" i="9"/>
  <c r="L70" i="9"/>
  <c r="L23" i="9"/>
  <c r="P254" i="9"/>
  <c r="M310" i="9"/>
  <c r="P310" i="9" s="1"/>
  <c r="P311" i="9"/>
  <c r="O568" i="9"/>
  <c r="L34" i="9"/>
  <c r="L70" i="10"/>
  <c r="L23" i="10"/>
  <c r="K611" i="6"/>
  <c r="K613" i="6"/>
  <c r="K615" i="6"/>
  <c r="K617" i="6"/>
  <c r="K619" i="6"/>
  <c r="M250" i="8"/>
  <c r="P250" i="8" s="1"/>
  <c r="K401" i="8"/>
  <c r="K93" i="9"/>
  <c r="O291" i="9"/>
  <c r="O298" i="9"/>
  <c r="M331" i="9"/>
  <c r="P337" i="9"/>
  <c r="O566" i="9"/>
  <c r="L32" i="9"/>
  <c r="M29" i="7"/>
  <c r="M13" i="8"/>
  <c r="P13" i="8" s="1"/>
  <c r="L19" i="8"/>
  <c r="M19" i="9"/>
  <c r="P21" i="9"/>
  <c r="M11" i="9"/>
  <c r="P45" i="9"/>
  <c r="N43" i="9"/>
  <c r="P43" i="9" s="1"/>
  <c r="N252" i="9"/>
  <c r="O351" i="9"/>
  <c r="L31" i="9"/>
  <c r="O385" i="9"/>
  <c r="N34" i="9"/>
  <c r="N14" i="9" s="1"/>
  <c r="O648" i="9"/>
  <c r="L640" i="9"/>
  <c r="P25" i="10"/>
  <c r="M15" i="10"/>
  <c r="P15" i="10" s="1"/>
  <c r="O126" i="10"/>
  <c r="L26" i="10"/>
  <c r="K612" i="6"/>
  <c r="K614" i="6"/>
  <c r="K616" i="6"/>
  <c r="O648" i="8"/>
  <c r="L640" i="8"/>
  <c r="M96" i="9"/>
  <c r="M26" i="9"/>
  <c r="P102" i="9"/>
  <c r="O228" i="9"/>
  <c r="K611" i="8"/>
  <c r="K613" i="8"/>
  <c r="K615" i="8"/>
  <c r="K617" i="8"/>
  <c r="K621" i="8"/>
  <c r="K623" i="8"/>
  <c r="M140" i="9"/>
  <c r="K611" i="9"/>
  <c r="K613" i="9"/>
  <c r="K615" i="9"/>
  <c r="K617" i="9"/>
  <c r="K621" i="9"/>
  <c r="K623" i="9"/>
  <c r="M11" i="10"/>
  <c r="N142" i="10"/>
  <c r="O384" i="10"/>
  <c r="L33" i="10"/>
  <c r="O33" i="10" s="1"/>
  <c r="O19" i="9"/>
  <c r="M30" i="9"/>
  <c r="O102" i="9"/>
  <c r="O141" i="9"/>
  <c r="P221" i="9"/>
  <c r="P291" i="9"/>
  <c r="O330" i="9"/>
  <c r="O337" i="9"/>
  <c r="M120" i="10"/>
  <c r="M118" i="10" s="1"/>
  <c r="P118" i="10" s="1"/>
  <c r="O640" i="10"/>
  <c r="L43" i="9"/>
  <c r="N22" i="10"/>
  <c r="O45" i="10"/>
  <c r="L43" i="10"/>
  <c r="M55" i="10"/>
  <c r="P57" i="10"/>
  <c r="M22" i="10"/>
  <c r="P291" i="11"/>
  <c r="N19" i="12"/>
  <c r="M30" i="10"/>
  <c r="P30" i="10" s="1"/>
  <c r="P32" i="10"/>
  <c r="P49" i="10"/>
  <c r="O119" i="10"/>
  <c r="O406" i="10"/>
  <c r="N34" i="10"/>
  <c r="N14" i="10" s="1"/>
  <c r="O537" i="10"/>
  <c r="L34" i="10"/>
  <c r="L144" i="12"/>
  <c r="L23" i="12"/>
  <c r="M43" i="10"/>
  <c r="P330" i="10"/>
  <c r="O404" i="10"/>
  <c r="L32" i="10"/>
  <c r="P42" i="11"/>
  <c r="O436" i="11"/>
  <c r="L31" i="11"/>
  <c r="L11" i="11" s="1"/>
  <c r="M29" i="10"/>
  <c r="M94" i="10"/>
  <c r="P94" i="10" s="1"/>
  <c r="K618" i="10"/>
  <c r="K616" i="10"/>
  <c r="K614" i="10"/>
  <c r="K612" i="10"/>
  <c r="K619" i="10"/>
  <c r="K617" i="10"/>
  <c r="K615" i="10"/>
  <c r="K613" i="10"/>
  <c r="K611" i="10"/>
  <c r="N19" i="11"/>
  <c r="N22" i="11"/>
  <c r="O337" i="11"/>
  <c r="M337" i="11"/>
  <c r="I367" i="11"/>
  <c r="K367" i="11" s="1"/>
  <c r="K465" i="11"/>
  <c r="O294" i="12"/>
  <c r="L292" i="12"/>
  <c r="O54" i="10"/>
  <c r="O95" i="10"/>
  <c r="P119" i="10"/>
  <c r="O533" i="10"/>
  <c r="O566" i="10"/>
  <c r="L33" i="11"/>
  <c r="O33" i="11" s="1"/>
  <c r="O438" i="11"/>
  <c r="K618" i="11"/>
  <c r="K616" i="11"/>
  <c r="K614" i="11"/>
  <c r="K612" i="11"/>
  <c r="K619" i="11"/>
  <c r="K617" i="11"/>
  <c r="K615" i="11"/>
  <c r="K613" i="11"/>
  <c r="K611" i="11"/>
  <c r="O25" i="12"/>
  <c r="L15" i="12"/>
  <c r="O15" i="12" s="1"/>
  <c r="L33" i="12"/>
  <c r="O33" i="12" s="1"/>
  <c r="N22" i="12"/>
  <c r="N273" i="12"/>
  <c r="K450" i="10"/>
  <c r="O564" i="10"/>
  <c r="O19" i="11"/>
  <c r="O25" i="11"/>
  <c r="L15" i="11"/>
  <c r="O15" i="11" s="1"/>
  <c r="L23" i="11"/>
  <c r="M140" i="11"/>
  <c r="O330" i="11"/>
  <c r="N31" i="11"/>
  <c r="N29" i="11" s="1"/>
  <c r="K481" i="11"/>
  <c r="O566" i="11"/>
  <c r="P272" i="12"/>
  <c r="N644" i="10"/>
  <c r="N640" i="10" s="1"/>
  <c r="N638" i="10" s="1"/>
  <c r="N636" i="10" s="1"/>
  <c r="O141" i="11"/>
  <c r="P221" i="11"/>
  <c r="M220" i="11"/>
  <c r="L292" i="11"/>
  <c r="N32" i="11"/>
  <c r="N30" i="11" s="1"/>
  <c r="O535" i="10"/>
  <c r="N43" i="11"/>
  <c r="N41" i="11" s="1"/>
  <c r="L24" i="11"/>
  <c r="M22" i="11"/>
  <c r="P144" i="11"/>
  <c r="K343" i="11"/>
  <c r="N644" i="11"/>
  <c r="N640" i="11" s="1"/>
  <c r="N638" i="11" s="1"/>
  <c r="N636" i="11" s="1"/>
  <c r="L19" i="12"/>
  <c r="O311" i="12"/>
  <c r="O318" i="12"/>
  <c r="L26" i="12"/>
  <c r="O648" i="10"/>
  <c r="M19" i="11"/>
  <c r="P29" i="11"/>
  <c r="P45" i="11"/>
  <c r="O49" i="11"/>
  <c r="P67" i="11"/>
  <c r="O251" i="11"/>
  <c r="P272" i="11"/>
  <c r="O311" i="11"/>
  <c r="O648" i="11"/>
  <c r="M19" i="12"/>
  <c r="M43" i="12"/>
  <c r="O436" i="12"/>
  <c r="L31" i="12"/>
  <c r="P19" i="13"/>
  <c r="P119" i="13"/>
  <c r="M118" i="13"/>
  <c r="K621" i="10"/>
  <c r="K623" i="10"/>
  <c r="K625" i="10"/>
  <c r="M11" i="11"/>
  <c r="K621" i="11"/>
  <c r="K623" i="11"/>
  <c r="K625" i="11"/>
  <c r="M11" i="12"/>
  <c r="O49" i="12"/>
  <c r="K112" i="12"/>
  <c r="N31" i="12"/>
  <c r="N29" i="12" s="1"/>
  <c r="K377" i="12"/>
  <c r="M250" i="12"/>
  <c r="P250" i="12" s="1"/>
  <c r="O24" i="13"/>
  <c r="P68" i="13"/>
  <c r="M66" i="13"/>
  <c r="P66" i="13" s="1"/>
  <c r="K110" i="12"/>
  <c r="K149" i="12"/>
  <c r="O251" i="12"/>
  <c r="K375" i="12"/>
  <c r="O401" i="12"/>
  <c r="K499" i="12"/>
  <c r="O584" i="12"/>
  <c r="L34" i="12"/>
  <c r="K620" i="10"/>
  <c r="K622" i="10"/>
  <c r="K624" i="10"/>
  <c r="L26" i="11"/>
  <c r="K620" i="11"/>
  <c r="K622" i="11"/>
  <c r="K624" i="11"/>
  <c r="P42" i="12"/>
  <c r="K189" i="12"/>
  <c r="K219" i="12"/>
  <c r="K341" i="12"/>
  <c r="O347" i="12"/>
  <c r="K564" i="12"/>
  <c r="N644" i="12"/>
  <c r="N640" i="12" s="1"/>
  <c r="N638" i="12" s="1"/>
  <c r="N636" i="12" s="1"/>
  <c r="P337" i="13"/>
  <c r="M331" i="13"/>
  <c r="P331" i="13" s="1"/>
  <c r="K619" i="12"/>
  <c r="K617" i="12"/>
  <c r="K615" i="12"/>
  <c r="K613" i="12"/>
  <c r="K611" i="12"/>
  <c r="K618" i="12"/>
  <c r="K616" i="12"/>
  <c r="K614" i="12"/>
  <c r="K612" i="12"/>
  <c r="K625" i="12"/>
  <c r="K623" i="12"/>
  <c r="K621" i="12"/>
  <c r="K626" i="12"/>
  <c r="K624" i="12"/>
  <c r="K622" i="12"/>
  <c r="K620" i="12"/>
  <c r="P57" i="13"/>
  <c r="N22" i="13"/>
  <c r="O102" i="13"/>
  <c r="O330" i="13"/>
  <c r="K547" i="12"/>
  <c r="M53" i="13"/>
  <c r="P54" i="13"/>
  <c r="O67" i="13"/>
  <c r="L26" i="13"/>
  <c r="O74" i="13"/>
  <c r="L222" i="13"/>
  <c r="O224" i="13"/>
  <c r="P333" i="13"/>
  <c r="K628" i="12"/>
  <c r="K634" i="12"/>
  <c r="P25" i="13"/>
  <c r="M15" i="13"/>
  <c r="P15" i="13" s="1"/>
  <c r="P32" i="13"/>
  <c r="M30" i="13"/>
  <c r="P30" i="13" s="1"/>
  <c r="P95" i="13"/>
  <c r="L640" i="12"/>
  <c r="O665" i="12"/>
  <c r="P70" i="13"/>
  <c r="M22" i="13"/>
  <c r="M271" i="13"/>
  <c r="M41" i="14"/>
  <c r="M220" i="14"/>
  <c r="M22" i="14"/>
  <c r="P224" i="14"/>
  <c r="N252" i="14"/>
  <c r="N250" i="14" s="1"/>
  <c r="P9" i="15"/>
  <c r="M9" i="13"/>
  <c r="M29" i="13"/>
  <c r="L34" i="13"/>
  <c r="L57" i="13"/>
  <c r="O272" i="13"/>
  <c r="O404" i="13"/>
  <c r="K498" i="13"/>
  <c r="P275" i="14"/>
  <c r="M273" i="14"/>
  <c r="M271" i="14" s="1"/>
  <c r="K345" i="13"/>
  <c r="K349" i="13"/>
  <c r="O354" i="13"/>
  <c r="P23" i="14"/>
  <c r="M13" i="14"/>
  <c r="P13" i="14" s="1"/>
  <c r="M28" i="14"/>
  <c r="P28" i="14" s="1"/>
  <c r="P251" i="14"/>
  <c r="O665" i="13"/>
  <c r="L640" i="13"/>
  <c r="L57" i="14"/>
  <c r="L23" i="14"/>
  <c r="O272" i="14"/>
  <c r="O385" i="14"/>
  <c r="L34" i="14"/>
  <c r="O600" i="14"/>
  <c r="L33" i="14"/>
  <c r="O33" i="14" s="1"/>
  <c r="K626" i="13"/>
  <c r="K624" i="13"/>
  <c r="K622" i="13"/>
  <c r="K620" i="13"/>
  <c r="K625" i="13"/>
  <c r="K623" i="13"/>
  <c r="K621" i="13"/>
  <c r="O228" i="14"/>
  <c r="O318" i="14"/>
  <c r="K401" i="13"/>
  <c r="O406" i="13"/>
  <c r="K464" i="13"/>
  <c r="L45" i="14"/>
  <c r="O221" i="14"/>
  <c r="O294" i="14"/>
  <c r="L19" i="14"/>
  <c r="O49" i="14"/>
  <c r="M55" i="14"/>
  <c r="P9" i="14"/>
  <c r="M19" i="14"/>
  <c r="P29" i="14"/>
  <c r="P45" i="14"/>
  <c r="O141" i="14"/>
  <c r="P221" i="14"/>
  <c r="M312" i="14"/>
  <c r="P312" i="14" s="1"/>
  <c r="K396" i="14"/>
  <c r="O435" i="14"/>
  <c r="O385" i="15"/>
  <c r="L34" i="15"/>
  <c r="K611" i="13"/>
  <c r="K613" i="13"/>
  <c r="K615" i="13"/>
  <c r="K617" i="13"/>
  <c r="K619" i="13"/>
  <c r="O535" i="14"/>
  <c r="K629" i="14"/>
  <c r="K635" i="14"/>
  <c r="O383" i="15"/>
  <c r="L32" i="15"/>
  <c r="P272" i="14"/>
  <c r="O311" i="14"/>
  <c r="L23" i="15"/>
  <c r="L57" i="15"/>
  <c r="O436" i="15"/>
  <c r="L31" i="15"/>
  <c r="L11" i="15" s="1"/>
  <c r="K619" i="15"/>
  <c r="K617" i="15"/>
  <c r="K615" i="15"/>
  <c r="K613" i="15"/>
  <c r="K611" i="15"/>
  <c r="K618" i="15"/>
  <c r="K616" i="15"/>
  <c r="K614" i="15"/>
  <c r="K612" i="15"/>
  <c r="K612" i="13"/>
  <c r="K614" i="13"/>
  <c r="K616" i="13"/>
  <c r="K398" i="14"/>
  <c r="O437" i="14"/>
  <c r="L19" i="15"/>
  <c r="O21" i="15"/>
  <c r="M28" i="15"/>
  <c r="P28" i="15" s="1"/>
  <c r="P29" i="15"/>
  <c r="P291" i="15"/>
  <c r="O337" i="15"/>
  <c r="M337" i="15"/>
  <c r="M331" i="15" s="1"/>
  <c r="O291" i="14"/>
  <c r="P311" i="14"/>
  <c r="K611" i="14"/>
  <c r="K613" i="14"/>
  <c r="K615" i="14"/>
  <c r="K617" i="14"/>
  <c r="K619" i="14"/>
  <c r="K621" i="14"/>
  <c r="K623" i="14"/>
  <c r="K625" i="14"/>
  <c r="L640" i="14"/>
  <c r="P45" i="15"/>
  <c r="M43" i="15"/>
  <c r="P57" i="15"/>
  <c r="O95" i="15"/>
  <c r="P119" i="15"/>
  <c r="M118" i="15"/>
  <c r="M142" i="15"/>
  <c r="N292" i="15"/>
  <c r="P294" i="15"/>
  <c r="M312" i="15"/>
  <c r="K343" i="15"/>
  <c r="N644" i="15"/>
  <c r="N640" i="15" s="1"/>
  <c r="N638" i="15" s="1"/>
  <c r="N636" i="15" s="1"/>
  <c r="K117" i="15"/>
  <c r="P122" i="15"/>
  <c r="K133" i="15"/>
  <c r="O330" i="15"/>
  <c r="K341" i="15"/>
  <c r="K370" i="15"/>
  <c r="K396" i="15"/>
  <c r="K465" i="15"/>
  <c r="K612" i="14"/>
  <c r="K614" i="14"/>
  <c r="K616" i="14"/>
  <c r="K620" i="14"/>
  <c r="K622" i="14"/>
  <c r="K624" i="14"/>
  <c r="M14" i="15"/>
  <c r="P14" i="15" s="1"/>
  <c r="N22" i="15"/>
  <c r="O141" i="15"/>
  <c r="K200" i="15"/>
  <c r="P221" i="15"/>
  <c r="M220" i="15"/>
  <c r="O311" i="15"/>
  <c r="O349" i="15"/>
  <c r="K368" i="15"/>
  <c r="M13" i="15"/>
  <c r="P13" i="15" s="1"/>
  <c r="M96" i="15"/>
  <c r="P96" i="15" s="1"/>
  <c r="O347" i="15"/>
  <c r="K377" i="15"/>
  <c r="O437" i="15"/>
  <c r="O228" i="15"/>
  <c r="K620" i="15"/>
  <c r="K622" i="15"/>
  <c r="K624" i="15"/>
  <c r="K626" i="15"/>
  <c r="O648" i="15"/>
  <c r="K621" i="15"/>
  <c r="K623" i="15"/>
  <c r="L252" i="15" l="1"/>
  <c r="L250" i="15" s="1"/>
  <c r="O254" i="14"/>
  <c r="O98" i="14"/>
  <c r="K80" i="1"/>
  <c r="M94" i="14"/>
  <c r="P94" i="14" s="1"/>
  <c r="L273" i="4"/>
  <c r="O273" i="4" s="1"/>
  <c r="O314" i="10"/>
  <c r="O314" i="2"/>
  <c r="L96" i="15"/>
  <c r="O96" i="15" s="1"/>
  <c r="O70" i="12"/>
  <c r="L66" i="14"/>
  <c r="O66" i="14" s="1"/>
  <c r="O68" i="14"/>
  <c r="O70" i="7"/>
  <c r="O70" i="14"/>
  <c r="P53" i="13"/>
  <c r="P55" i="13"/>
  <c r="O26" i="3"/>
  <c r="L96" i="13"/>
  <c r="O96" i="13" s="1"/>
  <c r="O34" i="3"/>
  <c r="L331" i="9"/>
  <c r="O331" i="9" s="1"/>
  <c r="O142" i="11"/>
  <c r="O564" i="1"/>
  <c r="K186" i="1"/>
  <c r="O650" i="1"/>
  <c r="P43" i="2"/>
  <c r="M310" i="10"/>
  <c r="P310" i="10" s="1"/>
  <c r="L120" i="4"/>
  <c r="O120" i="4" s="1"/>
  <c r="K309" i="1"/>
  <c r="P144" i="1"/>
  <c r="L96" i="11"/>
  <c r="O96" i="11" s="1"/>
  <c r="L222" i="15"/>
  <c r="L220" i="15" s="1"/>
  <c r="O220" i="15" s="1"/>
  <c r="N140" i="13"/>
  <c r="P140" i="13" s="1"/>
  <c r="P22" i="15"/>
  <c r="L252" i="12"/>
  <c r="O252" i="12" s="1"/>
  <c r="P312" i="2"/>
  <c r="L331" i="7"/>
  <c r="L329" i="7" s="1"/>
  <c r="O329" i="7" s="1"/>
  <c r="K418" i="1"/>
  <c r="P142" i="14"/>
  <c r="M26" i="7"/>
  <c r="P26" i="7" s="1"/>
  <c r="P55" i="7"/>
  <c r="O57" i="2"/>
  <c r="K158" i="1"/>
  <c r="J651" i="1"/>
  <c r="K201" i="1"/>
  <c r="O32" i="13"/>
  <c r="L55" i="11"/>
  <c r="O55" i="11" s="1"/>
  <c r="P337" i="7"/>
  <c r="L120" i="5"/>
  <c r="L118" i="5" s="1"/>
  <c r="O118" i="5" s="1"/>
  <c r="P252" i="5"/>
  <c r="K451" i="1"/>
  <c r="P331" i="8"/>
  <c r="P140" i="4"/>
  <c r="K423" i="1"/>
  <c r="O102" i="1"/>
  <c r="L331" i="15"/>
  <c r="O331" i="15" s="1"/>
  <c r="K635" i="1"/>
  <c r="L96" i="8"/>
  <c r="O96" i="8" s="1"/>
  <c r="K398" i="1"/>
  <c r="O533" i="1"/>
  <c r="P45" i="1"/>
  <c r="O385" i="1"/>
  <c r="K424" i="1"/>
  <c r="O275" i="10"/>
  <c r="L252" i="2"/>
  <c r="L250" i="2" s="1"/>
  <c r="O250" i="2" s="1"/>
  <c r="N28" i="2"/>
  <c r="L638" i="15"/>
  <c r="L636" i="15" s="1"/>
  <c r="O636" i="15" s="1"/>
  <c r="L29" i="10"/>
  <c r="O29" i="10" s="1"/>
  <c r="P98" i="1"/>
  <c r="K426" i="1"/>
  <c r="K455" i="1"/>
  <c r="O45" i="2"/>
  <c r="L96" i="2"/>
  <c r="K341" i="1"/>
  <c r="P294" i="1"/>
  <c r="P252" i="3"/>
  <c r="N28" i="10"/>
  <c r="O30" i="2"/>
  <c r="P22" i="12"/>
  <c r="L222" i="12"/>
  <c r="L220" i="12" s="1"/>
  <c r="P331" i="9"/>
  <c r="K324" i="1"/>
  <c r="O404" i="1"/>
  <c r="O34" i="13"/>
  <c r="L142" i="14"/>
  <c r="O142" i="14" s="1"/>
  <c r="L55" i="10"/>
  <c r="L53" i="10" s="1"/>
  <c r="O53" i="10" s="1"/>
  <c r="L142" i="13"/>
  <c r="L140" i="13" s="1"/>
  <c r="O140" i="13" s="1"/>
  <c r="O535" i="1"/>
  <c r="O45" i="13"/>
  <c r="M271" i="2"/>
  <c r="P271" i="2" s="1"/>
  <c r="K648" i="1"/>
  <c r="K595" i="1"/>
  <c r="K547" i="1"/>
  <c r="K199" i="1"/>
  <c r="O352" i="1"/>
  <c r="K117" i="1"/>
  <c r="O144" i="11"/>
  <c r="L96" i="10"/>
  <c r="O96" i="10" s="1"/>
  <c r="L142" i="15"/>
  <c r="L140" i="15" s="1"/>
  <c r="O140" i="15" s="1"/>
  <c r="K630" i="1"/>
  <c r="O580" i="1"/>
  <c r="O16" i="15"/>
  <c r="L142" i="8"/>
  <c r="L140" i="8" s="1"/>
  <c r="P314" i="1"/>
  <c r="L273" i="15"/>
  <c r="O273" i="15" s="1"/>
  <c r="L312" i="12"/>
  <c r="O312" i="12" s="1"/>
  <c r="L252" i="10"/>
  <c r="O252" i="10" s="1"/>
  <c r="L292" i="9"/>
  <c r="O292" i="9" s="1"/>
  <c r="L252" i="8"/>
  <c r="O252" i="8" s="1"/>
  <c r="L222" i="6"/>
  <c r="L220" i="6" s="1"/>
  <c r="O220" i="6" s="1"/>
  <c r="O566" i="1"/>
  <c r="M310" i="12"/>
  <c r="P310" i="12" s="1"/>
  <c r="L273" i="11"/>
  <c r="O273" i="11" s="1"/>
  <c r="L142" i="3"/>
  <c r="P120" i="2"/>
  <c r="K419" i="1"/>
  <c r="M271" i="4"/>
  <c r="P271" i="4" s="1"/>
  <c r="O122" i="3"/>
  <c r="K429" i="1"/>
  <c r="P140" i="9"/>
  <c r="K421" i="1"/>
  <c r="K267" i="1"/>
  <c r="K593" i="1"/>
  <c r="K580" i="1"/>
  <c r="K235" i="1"/>
  <c r="L292" i="13"/>
  <c r="O292" i="13" s="1"/>
  <c r="O380" i="1"/>
  <c r="K270" i="1"/>
  <c r="K229" i="1"/>
  <c r="K381" i="1"/>
  <c r="O337" i="1"/>
  <c r="O435" i="1"/>
  <c r="K264" i="1"/>
  <c r="M94" i="13"/>
  <c r="P94" i="13" s="1"/>
  <c r="L273" i="12"/>
  <c r="O273" i="12" s="1"/>
  <c r="M331" i="10"/>
  <c r="P331" i="10" s="1"/>
  <c r="O122" i="7"/>
  <c r="P53" i="8"/>
  <c r="O331" i="8"/>
  <c r="K616" i="1"/>
  <c r="L252" i="3"/>
  <c r="O252" i="3" s="1"/>
  <c r="L638" i="2"/>
  <c r="O638" i="2" s="1"/>
  <c r="P120" i="12"/>
  <c r="P68" i="12"/>
  <c r="N118" i="2"/>
  <c r="P118" i="2" s="1"/>
  <c r="K465" i="1"/>
  <c r="P22" i="2"/>
  <c r="K132" i="1"/>
  <c r="O329" i="8"/>
  <c r="O224" i="5"/>
  <c r="L252" i="4"/>
  <c r="O252" i="4" s="1"/>
  <c r="K615" i="1"/>
  <c r="O45" i="11"/>
  <c r="N29" i="6"/>
  <c r="N28" i="6" s="1"/>
  <c r="L312" i="7"/>
  <c r="O312" i="7" s="1"/>
  <c r="L96" i="3"/>
  <c r="O96" i="3" s="1"/>
  <c r="P122" i="1"/>
  <c r="P70" i="1"/>
  <c r="K375" i="1"/>
  <c r="P333" i="1"/>
  <c r="K82" i="1"/>
  <c r="K340" i="1"/>
  <c r="O254" i="13"/>
  <c r="N28" i="12"/>
  <c r="O224" i="11"/>
  <c r="P222" i="11"/>
  <c r="O314" i="6"/>
  <c r="O294" i="5"/>
  <c r="L312" i="4"/>
  <c r="O312" i="4" s="1"/>
  <c r="P312" i="4"/>
  <c r="L68" i="15"/>
  <c r="L66" i="15" s="1"/>
  <c r="O66" i="15" s="1"/>
  <c r="O26" i="14"/>
  <c r="O314" i="15"/>
  <c r="N11" i="2"/>
  <c r="N9" i="2" s="1"/>
  <c r="O43" i="2"/>
  <c r="K650" i="1"/>
  <c r="P275" i="1"/>
  <c r="K350" i="1"/>
  <c r="K449" i="1"/>
  <c r="K428" i="1"/>
  <c r="K621" i="1"/>
  <c r="K376" i="1"/>
  <c r="N43" i="1"/>
  <c r="N41" i="1" s="1"/>
  <c r="K611" i="1"/>
  <c r="K345" i="1"/>
  <c r="K474" i="1"/>
  <c r="P224" i="1"/>
  <c r="K133" i="1"/>
  <c r="K618" i="1"/>
  <c r="K420" i="1"/>
  <c r="K138" i="1"/>
  <c r="P142" i="10"/>
  <c r="L273" i="13"/>
  <c r="O273" i="13" s="1"/>
  <c r="L638" i="11"/>
  <c r="O638" i="11" s="1"/>
  <c r="P220" i="11"/>
  <c r="L66" i="7"/>
  <c r="O66" i="7" s="1"/>
  <c r="L96" i="6"/>
  <c r="O96" i="6" s="1"/>
  <c r="L292" i="3"/>
  <c r="L290" i="3" s="1"/>
  <c r="K213" i="1"/>
  <c r="O459" i="1"/>
  <c r="K109" i="1"/>
  <c r="K466" i="1"/>
  <c r="K372" i="1"/>
  <c r="K370" i="1"/>
  <c r="K64" i="1"/>
  <c r="K110" i="1"/>
  <c r="O406" i="1"/>
  <c r="K564" i="1"/>
  <c r="P55" i="6"/>
  <c r="O70" i="2"/>
  <c r="K402" i="1"/>
  <c r="K631" i="1"/>
  <c r="P57" i="1"/>
  <c r="O349" i="1"/>
  <c r="M66" i="5"/>
  <c r="P66" i="5" s="1"/>
  <c r="L68" i="6"/>
  <c r="L66" i="6" s="1"/>
  <c r="O66" i="6" s="1"/>
  <c r="L292" i="2"/>
  <c r="L290" i="2" s="1"/>
  <c r="O290" i="2" s="1"/>
  <c r="O45" i="4"/>
  <c r="P310" i="3"/>
  <c r="O275" i="2"/>
  <c r="O144" i="10"/>
  <c r="O70" i="13"/>
  <c r="O331" i="6"/>
  <c r="P331" i="6"/>
  <c r="L273" i="3"/>
  <c r="L271" i="3" s="1"/>
  <c r="O271" i="3" s="1"/>
  <c r="P220" i="6"/>
  <c r="P252" i="15"/>
  <c r="K164" i="1"/>
  <c r="K629" i="1"/>
  <c r="K88" i="1"/>
  <c r="L312" i="14"/>
  <c r="O312" i="14" s="1"/>
  <c r="P331" i="3"/>
  <c r="O333" i="3"/>
  <c r="O331" i="3"/>
  <c r="M290" i="12"/>
  <c r="P290" i="12" s="1"/>
  <c r="L43" i="8"/>
  <c r="L41" i="8" s="1"/>
  <c r="O41" i="8" s="1"/>
  <c r="O318" i="1"/>
  <c r="K432" i="1"/>
  <c r="O437" i="1"/>
  <c r="K87" i="1"/>
  <c r="O537" i="1"/>
  <c r="K112" i="1"/>
  <c r="K304" i="1"/>
  <c r="K401" i="1"/>
  <c r="K619" i="1"/>
  <c r="K498" i="1"/>
  <c r="K422" i="1"/>
  <c r="K306" i="1"/>
  <c r="K397" i="1"/>
  <c r="L68" i="4"/>
  <c r="P66" i="2"/>
  <c r="O347" i="1"/>
  <c r="K185" i="1"/>
  <c r="O312" i="15"/>
  <c r="L310" i="15"/>
  <c r="O310" i="15" s="1"/>
  <c r="M140" i="14"/>
  <c r="P140" i="14" s="1"/>
  <c r="L9" i="10"/>
  <c r="O9" i="10" s="1"/>
  <c r="L312" i="3"/>
  <c r="O312" i="3" s="1"/>
  <c r="N53" i="11"/>
  <c r="P53" i="11" s="1"/>
  <c r="P222" i="6"/>
  <c r="P68" i="3"/>
  <c r="L292" i="4"/>
  <c r="K204" i="1"/>
  <c r="K464" i="1"/>
  <c r="L312" i="8"/>
  <c r="L310" i="8" s="1"/>
  <c r="O310" i="8" s="1"/>
  <c r="M271" i="10"/>
  <c r="P271" i="10" s="1"/>
  <c r="K111" i="1"/>
  <c r="P292" i="6"/>
  <c r="M220" i="3"/>
  <c r="P220" i="3" s="1"/>
  <c r="L11" i="14"/>
  <c r="O11" i="14" s="1"/>
  <c r="O222" i="13"/>
  <c r="P43" i="12"/>
  <c r="M271" i="12"/>
  <c r="P271" i="12" s="1"/>
  <c r="L120" i="8"/>
  <c r="O120" i="8" s="1"/>
  <c r="O57" i="8"/>
  <c r="O57" i="3"/>
  <c r="P68" i="15"/>
  <c r="K482" i="1"/>
  <c r="L638" i="5"/>
  <c r="O638" i="5" s="1"/>
  <c r="O144" i="2"/>
  <c r="L29" i="14"/>
  <c r="P331" i="12"/>
  <c r="O254" i="11"/>
  <c r="O144" i="9"/>
  <c r="K108" i="1"/>
  <c r="O354" i="1"/>
  <c r="K430" i="1"/>
  <c r="P271" i="14"/>
  <c r="O31" i="10"/>
  <c r="L22" i="3"/>
  <c r="L20" i="3" s="1"/>
  <c r="K634" i="1"/>
  <c r="K396" i="1"/>
  <c r="M41" i="12"/>
  <c r="P41" i="12" s="1"/>
  <c r="P250" i="3"/>
  <c r="K617" i="1"/>
  <c r="K289" i="1"/>
  <c r="K473" i="1"/>
  <c r="K591" i="1"/>
  <c r="K612" i="1"/>
  <c r="K377" i="1"/>
  <c r="M43" i="1"/>
  <c r="M41" i="1" s="1"/>
  <c r="K85" i="1"/>
  <c r="O55" i="5"/>
  <c r="P250" i="15"/>
  <c r="L14" i="8"/>
  <c r="O14" i="8" s="1"/>
  <c r="O26" i="9"/>
  <c r="N29" i="4"/>
  <c r="N28" i="4" s="1"/>
  <c r="P22" i="3"/>
  <c r="O331" i="11"/>
  <c r="N20" i="4"/>
  <c r="N18" i="4" s="1"/>
  <c r="O252" i="6"/>
  <c r="L250" i="6"/>
  <c r="O250" i="6" s="1"/>
  <c r="O31" i="13"/>
  <c r="L331" i="10"/>
  <c r="L329" i="10" s="1"/>
  <c r="O329" i="10" s="1"/>
  <c r="M118" i="5"/>
  <c r="P118" i="5" s="1"/>
  <c r="L331" i="2"/>
  <c r="L329" i="2" s="1"/>
  <c r="L222" i="2"/>
  <c r="L220" i="2" s="1"/>
  <c r="O220" i="2" s="1"/>
  <c r="O34" i="2"/>
  <c r="K435" i="1"/>
  <c r="P292" i="3"/>
  <c r="N31" i="1"/>
  <c r="N29" i="1" s="1"/>
  <c r="O584" i="1"/>
  <c r="K425" i="1"/>
  <c r="K81" i="1"/>
  <c r="O333" i="11"/>
  <c r="O45" i="12"/>
  <c r="L120" i="10"/>
  <c r="O120" i="10" s="1"/>
  <c r="L273" i="7"/>
  <c r="N220" i="10"/>
  <c r="P220" i="10" s="1"/>
  <c r="K589" i="1"/>
  <c r="O597" i="1"/>
  <c r="O582" i="1"/>
  <c r="K628" i="1"/>
  <c r="L222" i="14"/>
  <c r="L220" i="14" s="1"/>
  <c r="O220" i="14" s="1"/>
  <c r="N220" i="12"/>
  <c r="P220" i="12" s="1"/>
  <c r="O34" i="14"/>
  <c r="O333" i="13"/>
  <c r="N11" i="10"/>
  <c r="N9" i="10" s="1"/>
  <c r="L16" i="9"/>
  <c r="O16" i="9" s="1"/>
  <c r="M220" i="9"/>
  <c r="P220" i="9" s="1"/>
  <c r="P220" i="7"/>
  <c r="L142" i="7"/>
  <c r="L140" i="7" s="1"/>
  <c r="O140" i="7" s="1"/>
  <c r="O254" i="6"/>
  <c r="N22" i="1"/>
  <c r="P222" i="7"/>
  <c r="K417" i="1"/>
  <c r="N12" i="2"/>
  <c r="P12" i="2" s="1"/>
  <c r="N55" i="1"/>
  <c r="N53" i="1" s="1"/>
  <c r="P53" i="1" s="1"/>
  <c r="K189" i="1"/>
  <c r="L23" i="1"/>
  <c r="O23" i="1" s="1"/>
  <c r="K65" i="1"/>
  <c r="K216" i="1"/>
  <c r="K497" i="1"/>
  <c r="O649" i="1"/>
  <c r="P43" i="15"/>
  <c r="L16" i="14"/>
  <c r="O16" i="14" s="1"/>
  <c r="P252" i="4"/>
  <c r="P252" i="10"/>
  <c r="M271" i="7"/>
  <c r="P271" i="7" s="1"/>
  <c r="L292" i="6"/>
  <c r="O292" i="6" s="1"/>
  <c r="L142" i="5"/>
  <c r="O601" i="1"/>
  <c r="O32" i="14"/>
  <c r="M310" i="6"/>
  <c r="P310" i="6" s="1"/>
  <c r="M118" i="6"/>
  <c r="P118" i="6" s="1"/>
  <c r="P250" i="4"/>
  <c r="O32" i="2"/>
  <c r="K173" i="1"/>
  <c r="K265" i="1"/>
  <c r="K219" i="1"/>
  <c r="O142" i="9"/>
  <c r="L140" i="9"/>
  <c r="O140" i="9" s="1"/>
  <c r="L53" i="2"/>
  <c r="O53" i="2" s="1"/>
  <c r="O55" i="2"/>
  <c r="M310" i="8"/>
  <c r="P310" i="8" s="1"/>
  <c r="L14" i="9"/>
  <c r="O14" i="9" s="1"/>
  <c r="O34" i="5"/>
  <c r="L312" i="11"/>
  <c r="O312" i="11" s="1"/>
  <c r="O333" i="6"/>
  <c r="N290" i="3"/>
  <c r="P290" i="3" s="1"/>
  <c r="P53" i="4"/>
  <c r="L273" i="14"/>
  <c r="O273" i="14" s="1"/>
  <c r="O252" i="9"/>
  <c r="O275" i="8"/>
  <c r="L55" i="6"/>
  <c r="O55" i="6" s="1"/>
  <c r="N12" i="4"/>
  <c r="N10" i="4" s="1"/>
  <c r="N8" i="4" s="1"/>
  <c r="O254" i="9"/>
  <c r="L224" i="1"/>
  <c r="O224" i="1" s="1"/>
  <c r="O30" i="8"/>
  <c r="K632" i="1"/>
  <c r="N11" i="7"/>
  <c r="N9" i="7" s="1"/>
  <c r="P120" i="13"/>
  <c r="M26" i="10"/>
  <c r="M20" i="10" s="1"/>
  <c r="N66" i="9"/>
  <c r="P66" i="9" s="1"/>
  <c r="N118" i="8"/>
  <c r="O224" i="4"/>
  <c r="P222" i="15"/>
  <c r="M94" i="11"/>
  <c r="P94" i="11" s="1"/>
  <c r="K83" i="1"/>
  <c r="L55" i="12"/>
  <c r="O55" i="12" s="1"/>
  <c r="L120" i="11"/>
  <c r="O120" i="11" s="1"/>
  <c r="M329" i="8"/>
  <c r="P329" i="8" s="1"/>
  <c r="O294" i="15"/>
  <c r="L122" i="1"/>
  <c r="O122" i="1" s="1"/>
  <c r="O329" i="6"/>
  <c r="P142" i="4"/>
  <c r="N644" i="1"/>
  <c r="N640" i="1" s="1"/>
  <c r="N638" i="1" s="1"/>
  <c r="N636" i="1" s="1"/>
  <c r="N26" i="1"/>
  <c r="N16" i="1" s="1"/>
  <c r="O120" i="15"/>
  <c r="O49" i="1"/>
  <c r="K614" i="1"/>
  <c r="P254" i="1"/>
  <c r="K343" i="1"/>
  <c r="K176" i="1"/>
  <c r="L29" i="13"/>
  <c r="O29" i="13" s="1"/>
  <c r="K622" i="1"/>
  <c r="L120" i="2"/>
  <c r="L118" i="2" s="1"/>
  <c r="P53" i="2"/>
  <c r="L314" i="1"/>
  <c r="O314" i="1" s="1"/>
  <c r="L222" i="3"/>
  <c r="P140" i="2"/>
  <c r="L14" i="2"/>
  <c r="O14" i="2" s="1"/>
  <c r="K573" i="1"/>
  <c r="K431" i="1"/>
  <c r="O439" i="1"/>
  <c r="O222" i="4"/>
  <c r="L220" i="4"/>
  <c r="O220" i="4" s="1"/>
  <c r="P120" i="15"/>
  <c r="O333" i="14"/>
  <c r="M329" i="13"/>
  <c r="P329" i="13" s="1"/>
  <c r="L312" i="9"/>
  <c r="L310" i="9" s="1"/>
  <c r="O310" i="9" s="1"/>
  <c r="L22" i="10"/>
  <c r="L20" i="10" s="1"/>
  <c r="O122" i="9"/>
  <c r="L271" i="5"/>
  <c r="O271" i="5" s="1"/>
  <c r="L13" i="4"/>
  <c r="O13" i="4" s="1"/>
  <c r="K620" i="1"/>
  <c r="N20" i="3"/>
  <c r="N18" i="3" s="1"/>
  <c r="O32" i="8"/>
  <c r="L222" i="8"/>
  <c r="K368" i="1"/>
  <c r="N33" i="1"/>
  <c r="N13" i="1" s="1"/>
  <c r="L222" i="7"/>
  <c r="N12" i="8"/>
  <c r="N10" i="8" s="1"/>
  <c r="N20" i="2"/>
  <c r="N18" i="2" s="1"/>
  <c r="M94" i="2"/>
  <c r="P94" i="2" s="1"/>
  <c r="P331" i="4"/>
  <c r="O144" i="6"/>
  <c r="K266" i="1"/>
  <c r="K86" i="1"/>
  <c r="P49" i="1"/>
  <c r="M329" i="9"/>
  <c r="P329" i="9" s="1"/>
  <c r="L222" i="9"/>
  <c r="O222" i="9" s="1"/>
  <c r="O224" i="7"/>
  <c r="N20" i="8"/>
  <c r="N18" i="8" s="1"/>
  <c r="O144" i="4"/>
  <c r="O16" i="3"/>
  <c r="K625" i="1"/>
  <c r="N329" i="2"/>
  <c r="N329" i="1" s="1"/>
  <c r="L250" i="11"/>
  <c r="O250" i="11" s="1"/>
  <c r="O224" i="10"/>
  <c r="L118" i="15"/>
  <c r="O118" i="15" s="1"/>
  <c r="L13" i="13"/>
  <c r="O13" i="13" s="1"/>
  <c r="O122" i="15"/>
  <c r="M250" i="14"/>
  <c r="P250" i="14" s="1"/>
  <c r="L331" i="5"/>
  <c r="O331" i="5" s="1"/>
  <c r="N28" i="7"/>
  <c r="P55" i="5"/>
  <c r="K623" i="1"/>
  <c r="O34" i="8"/>
  <c r="N12" i="3"/>
  <c r="N10" i="3" s="1"/>
  <c r="K626" i="1"/>
  <c r="K249" i="1"/>
  <c r="P220" i="15"/>
  <c r="N37" i="14"/>
  <c r="P43" i="14"/>
  <c r="L22" i="12"/>
  <c r="L20" i="12" s="1"/>
  <c r="N140" i="8"/>
  <c r="K624" i="1"/>
  <c r="P252" i="11"/>
  <c r="P273" i="5"/>
  <c r="N120" i="1"/>
  <c r="N37" i="4"/>
  <c r="L294" i="1"/>
  <c r="O294" i="1" s="1"/>
  <c r="N271" i="13"/>
  <c r="P55" i="4"/>
  <c r="N34" i="1"/>
  <c r="N14" i="1" s="1"/>
  <c r="J671" i="1"/>
  <c r="N29" i="3"/>
  <c r="N28" i="3" s="1"/>
  <c r="N11" i="3"/>
  <c r="N9" i="3" s="1"/>
  <c r="N68" i="1"/>
  <c r="M271" i="11"/>
  <c r="P271" i="11" s="1"/>
  <c r="M329" i="4"/>
  <c r="P329" i="4" s="1"/>
  <c r="N28" i="14"/>
  <c r="M310" i="14"/>
  <c r="P310" i="14" s="1"/>
  <c r="N12" i="14"/>
  <c r="N10" i="14" s="1"/>
  <c r="M94" i="8"/>
  <c r="P94" i="8" s="1"/>
  <c r="O26" i="15"/>
  <c r="L66" i="13"/>
  <c r="O66" i="13" s="1"/>
  <c r="O34" i="10"/>
  <c r="O333" i="4"/>
  <c r="N96" i="1"/>
  <c r="P222" i="14"/>
  <c r="L333" i="1"/>
  <c r="O333" i="1" s="1"/>
  <c r="L273" i="6"/>
  <c r="P43" i="5"/>
  <c r="O31" i="8"/>
  <c r="L29" i="8"/>
  <c r="K369" i="1"/>
  <c r="I367" i="1"/>
  <c r="K367" i="1" s="1"/>
  <c r="O32" i="3"/>
  <c r="M22" i="1"/>
  <c r="M12" i="1" s="1"/>
  <c r="N94" i="1"/>
  <c r="L22" i="11"/>
  <c r="L20" i="11" s="1"/>
  <c r="L22" i="9"/>
  <c r="O22" i="9" s="1"/>
  <c r="L55" i="9"/>
  <c r="O55" i="9" s="1"/>
  <c r="M94" i="7"/>
  <c r="P94" i="7" s="1"/>
  <c r="M290" i="9"/>
  <c r="P290" i="9" s="1"/>
  <c r="L292" i="7"/>
  <c r="O55" i="8"/>
  <c r="L96" i="5"/>
  <c r="O96" i="5" s="1"/>
  <c r="L22" i="4"/>
  <c r="L12" i="4" s="1"/>
  <c r="L68" i="3"/>
  <c r="O68" i="3" s="1"/>
  <c r="L275" i="1"/>
  <c r="O275" i="1" s="1"/>
  <c r="N11" i="14"/>
  <c r="N9" i="14" s="1"/>
  <c r="N66" i="8"/>
  <c r="O222" i="10"/>
  <c r="P66" i="3"/>
  <c r="L640" i="1"/>
  <c r="L638" i="1" s="1"/>
  <c r="P292" i="10"/>
  <c r="M290" i="10"/>
  <c r="P290" i="10" s="1"/>
  <c r="L31" i="1"/>
  <c r="O31" i="3"/>
  <c r="L29" i="3"/>
  <c r="L11" i="3"/>
  <c r="O122" i="14"/>
  <c r="P220" i="14"/>
  <c r="L96" i="12"/>
  <c r="O34" i="7"/>
  <c r="O275" i="9"/>
  <c r="L22" i="8"/>
  <c r="O22" i="8" s="1"/>
  <c r="O98" i="7"/>
  <c r="O45" i="6"/>
  <c r="M310" i="7"/>
  <c r="P310" i="7" s="1"/>
  <c r="O70" i="3"/>
  <c r="P292" i="14"/>
  <c r="M290" i="14"/>
  <c r="P290" i="14" s="1"/>
  <c r="O68" i="12"/>
  <c r="L66" i="12"/>
  <c r="O66" i="12" s="1"/>
  <c r="O34" i="11"/>
  <c r="P292" i="4"/>
  <c r="M290" i="4"/>
  <c r="P290" i="4" s="1"/>
  <c r="O31" i="2"/>
  <c r="L11" i="2"/>
  <c r="L24" i="1"/>
  <c r="L26" i="1"/>
  <c r="O383" i="1"/>
  <c r="N32" i="1"/>
  <c r="N30" i="1" s="1"/>
  <c r="K113" i="1"/>
  <c r="O353" i="1"/>
  <c r="L33" i="1"/>
  <c r="P298" i="15"/>
  <c r="L120" i="14"/>
  <c r="O314" i="13"/>
  <c r="L331" i="12"/>
  <c r="O331" i="12" s="1"/>
  <c r="L68" i="11"/>
  <c r="O68" i="11" s="1"/>
  <c r="P140" i="11"/>
  <c r="P53" i="7"/>
  <c r="L310" i="6"/>
  <c r="O310" i="6" s="1"/>
  <c r="N312" i="1"/>
  <c r="L14" i="6"/>
  <c r="O14" i="6" s="1"/>
  <c r="L22" i="6"/>
  <c r="O22" i="6" s="1"/>
  <c r="M20" i="3"/>
  <c r="N331" i="1"/>
  <c r="N53" i="15"/>
  <c r="P53" i="15" s="1"/>
  <c r="P329" i="6"/>
  <c r="O23" i="2"/>
  <c r="L13" i="2"/>
  <c r="O13" i="2" s="1"/>
  <c r="O30" i="3"/>
  <c r="P120" i="7"/>
  <c r="M118" i="7"/>
  <c r="P118" i="7" s="1"/>
  <c r="M118" i="4"/>
  <c r="P118" i="4" s="1"/>
  <c r="P120" i="4"/>
  <c r="L32" i="1"/>
  <c r="L34" i="1"/>
  <c r="M292" i="15"/>
  <c r="P292" i="15" s="1"/>
  <c r="P142" i="11"/>
  <c r="M290" i="11"/>
  <c r="P290" i="11" s="1"/>
  <c r="N142" i="1"/>
  <c r="P55" i="8"/>
  <c r="L70" i="1"/>
  <c r="O70" i="1" s="1"/>
  <c r="N37" i="6"/>
  <c r="L22" i="2"/>
  <c r="O22" i="2" s="1"/>
  <c r="O331" i="13"/>
  <c r="L329" i="13"/>
  <c r="O329" i="13" s="1"/>
  <c r="L94" i="14"/>
  <c r="O94" i="14" s="1"/>
  <c r="O43" i="9"/>
  <c r="M329" i="12"/>
  <c r="P329" i="12" s="1"/>
  <c r="P68" i="14"/>
  <c r="M66" i="14"/>
  <c r="P66" i="14" s="1"/>
  <c r="L292" i="8"/>
  <c r="O294" i="8"/>
  <c r="P68" i="8"/>
  <c r="M66" i="8"/>
  <c r="P66" i="8" s="1"/>
  <c r="M66" i="4"/>
  <c r="P66" i="4" s="1"/>
  <c r="P68" i="4"/>
  <c r="P222" i="2"/>
  <c r="M220" i="2"/>
  <c r="P220" i="2" s="1"/>
  <c r="M222" i="1"/>
  <c r="L140" i="11"/>
  <c r="O140" i="11" s="1"/>
  <c r="N140" i="10"/>
  <c r="P140" i="10" s="1"/>
  <c r="M290" i="7"/>
  <c r="P290" i="7" s="1"/>
  <c r="N310" i="1"/>
  <c r="N20" i="9"/>
  <c r="N18" i="9" s="1"/>
  <c r="N29" i="13"/>
  <c r="N28" i="13" s="1"/>
  <c r="N11" i="13"/>
  <c r="N9" i="13" s="1"/>
  <c r="L120" i="13"/>
  <c r="O122" i="13"/>
  <c r="L43" i="15"/>
  <c r="O45" i="15"/>
  <c r="P55" i="12"/>
  <c r="N53" i="12"/>
  <c r="P53" i="12" s="1"/>
  <c r="L41" i="13"/>
  <c r="O41" i="13" s="1"/>
  <c r="O43" i="13"/>
  <c r="M271" i="9"/>
  <c r="P271" i="9" s="1"/>
  <c r="P273" i="9"/>
  <c r="N11" i="9"/>
  <c r="N9" i="9" s="1"/>
  <c r="N29" i="9"/>
  <c r="N28" i="9" s="1"/>
  <c r="M96" i="12"/>
  <c r="M26" i="12"/>
  <c r="L118" i="12"/>
  <c r="O118" i="12" s="1"/>
  <c r="O120" i="12"/>
  <c r="M140" i="12"/>
  <c r="P140" i="12" s="1"/>
  <c r="P142" i="12"/>
  <c r="N41" i="7"/>
  <c r="N37" i="7" s="1"/>
  <c r="P222" i="4"/>
  <c r="M220" i="4"/>
  <c r="P220" i="4" s="1"/>
  <c r="P312" i="5"/>
  <c r="M310" i="5"/>
  <c r="P310" i="5" s="1"/>
  <c r="P96" i="4"/>
  <c r="M331" i="14"/>
  <c r="P337" i="14"/>
  <c r="M26" i="14"/>
  <c r="M20" i="14" s="1"/>
  <c r="P20" i="14" s="1"/>
  <c r="N29" i="15"/>
  <c r="N28" i="15" s="1"/>
  <c r="N11" i="15"/>
  <c r="N9" i="15" s="1"/>
  <c r="M290" i="13"/>
  <c r="P290" i="13" s="1"/>
  <c r="P292" i="13"/>
  <c r="P142" i="6"/>
  <c r="M140" i="6"/>
  <c r="P140" i="6" s="1"/>
  <c r="P273" i="3"/>
  <c r="M271" i="3"/>
  <c r="P271" i="3" s="1"/>
  <c r="O34" i="4"/>
  <c r="L57" i="1"/>
  <c r="L55" i="1" s="1"/>
  <c r="P312" i="11"/>
  <c r="M310" i="11"/>
  <c r="P310" i="11" s="1"/>
  <c r="M312" i="13"/>
  <c r="M312" i="1" s="1"/>
  <c r="P318" i="13"/>
  <c r="M26" i="13"/>
  <c r="M20" i="13" s="1"/>
  <c r="M318" i="1"/>
  <c r="P318" i="1" s="1"/>
  <c r="M220" i="13"/>
  <c r="P220" i="13" s="1"/>
  <c r="P222" i="13"/>
  <c r="O32" i="12"/>
  <c r="L30" i="12"/>
  <c r="O30" i="12" s="1"/>
  <c r="P252" i="7"/>
  <c r="M252" i="1"/>
  <c r="L312" i="5"/>
  <c r="O314" i="5"/>
  <c r="P26" i="3"/>
  <c r="M16" i="3"/>
  <c r="P16" i="3" s="1"/>
  <c r="L14" i="14"/>
  <c r="O14" i="14" s="1"/>
  <c r="N41" i="9"/>
  <c r="P41" i="9" s="1"/>
  <c r="N271" i="15"/>
  <c r="P271" i="15" s="1"/>
  <c r="P273" i="15"/>
  <c r="O250" i="15"/>
  <c r="P120" i="11"/>
  <c r="M118" i="11"/>
  <c r="P118" i="11" s="1"/>
  <c r="P120" i="9"/>
  <c r="M118" i="9"/>
  <c r="P118" i="9" s="1"/>
  <c r="M250" i="13"/>
  <c r="P250" i="13" s="1"/>
  <c r="P292" i="8"/>
  <c r="M290" i="8"/>
  <c r="P290" i="8" s="1"/>
  <c r="M140" i="7"/>
  <c r="P140" i="7" s="1"/>
  <c r="P142" i="7"/>
  <c r="P120" i="3"/>
  <c r="M118" i="3"/>
  <c r="P118" i="3" s="1"/>
  <c r="O26" i="2"/>
  <c r="L16" i="2"/>
  <c r="O16" i="2" s="1"/>
  <c r="P68" i="2"/>
  <c r="M68" i="1"/>
  <c r="P53" i="6"/>
  <c r="O11" i="13"/>
  <c r="L9" i="13"/>
  <c r="O9" i="13" s="1"/>
  <c r="O292" i="10"/>
  <c r="L290" i="10"/>
  <c r="O290" i="10" s="1"/>
  <c r="P68" i="7"/>
  <c r="M66" i="7"/>
  <c r="P66" i="7" s="1"/>
  <c r="O252" i="7"/>
  <c r="L250" i="7"/>
  <c r="O250" i="7" s="1"/>
  <c r="N29" i="5"/>
  <c r="N28" i="5" s="1"/>
  <c r="N11" i="5"/>
  <c r="N9" i="5" s="1"/>
  <c r="L140" i="6"/>
  <c r="O140" i="6" s="1"/>
  <c r="O142" i="6"/>
  <c r="L252" i="5"/>
  <c r="O254" i="5"/>
  <c r="P94" i="4"/>
  <c r="L254" i="1"/>
  <c r="O254" i="1" s="1"/>
  <c r="P331" i="15"/>
  <c r="M329" i="15"/>
  <c r="P329" i="15" s="1"/>
  <c r="O34" i="15"/>
  <c r="L14" i="15"/>
  <c r="O14" i="15" s="1"/>
  <c r="L55" i="13"/>
  <c r="O57" i="13"/>
  <c r="L22" i="13"/>
  <c r="O640" i="12"/>
  <c r="L638" i="12"/>
  <c r="N12" i="13"/>
  <c r="N10" i="13" s="1"/>
  <c r="N20" i="13"/>
  <c r="N18" i="13" s="1"/>
  <c r="P22" i="11"/>
  <c r="M12" i="11"/>
  <c r="L329" i="11"/>
  <c r="O329" i="11" s="1"/>
  <c r="O30" i="11"/>
  <c r="M28" i="10"/>
  <c r="P28" i="10" s="1"/>
  <c r="P29" i="10"/>
  <c r="O273" i="10"/>
  <c r="L271" i="10"/>
  <c r="O271" i="10" s="1"/>
  <c r="M9" i="10"/>
  <c r="P11" i="10"/>
  <c r="P96" i="9"/>
  <c r="M94" i="9"/>
  <c r="P94" i="9" s="1"/>
  <c r="M9" i="9"/>
  <c r="P11" i="9"/>
  <c r="L68" i="10"/>
  <c r="O70" i="10"/>
  <c r="N250" i="9"/>
  <c r="O250" i="9" s="1"/>
  <c r="P55" i="9"/>
  <c r="M53" i="9"/>
  <c r="P53" i="9" s="1"/>
  <c r="P26" i="4"/>
  <c r="M16" i="4"/>
  <c r="P16" i="4" s="1"/>
  <c r="L41" i="6"/>
  <c r="O331" i="4"/>
  <c r="L329" i="4"/>
  <c r="O329" i="4" s="1"/>
  <c r="L41" i="4"/>
  <c r="O43" i="4"/>
  <c r="L638" i="3"/>
  <c r="O640" i="3"/>
  <c r="O96" i="4"/>
  <c r="L94" i="4"/>
  <c r="O94" i="4" s="1"/>
  <c r="P43" i="4"/>
  <c r="M41" i="4"/>
  <c r="P11" i="3"/>
  <c r="M9" i="3"/>
  <c r="P19" i="3"/>
  <c r="L13" i="6"/>
  <c r="O13" i="6" s="1"/>
  <c r="L41" i="2"/>
  <c r="N252" i="1"/>
  <c r="P310" i="2"/>
  <c r="P312" i="15"/>
  <c r="M310" i="15"/>
  <c r="P310" i="15" s="1"/>
  <c r="P118" i="15"/>
  <c r="O57" i="15"/>
  <c r="L55" i="15"/>
  <c r="L22" i="15"/>
  <c r="O32" i="15"/>
  <c r="L30" i="15"/>
  <c r="O30" i="15" s="1"/>
  <c r="O23" i="14"/>
  <c r="L13" i="14"/>
  <c r="O13" i="14" s="1"/>
  <c r="O252" i="14"/>
  <c r="L250" i="14"/>
  <c r="O250" i="14" s="1"/>
  <c r="P22" i="13"/>
  <c r="M12" i="13"/>
  <c r="O252" i="13"/>
  <c r="L250" i="13"/>
  <c r="O250" i="13" s="1"/>
  <c r="O26" i="13"/>
  <c r="L16" i="13"/>
  <c r="O16" i="13" s="1"/>
  <c r="O26" i="11"/>
  <c r="L16" i="11"/>
  <c r="O16" i="11" s="1"/>
  <c r="P118" i="13"/>
  <c r="O24" i="11"/>
  <c r="L14" i="11"/>
  <c r="O14" i="11" s="1"/>
  <c r="O32" i="11"/>
  <c r="O292" i="12"/>
  <c r="L290" i="12"/>
  <c r="O290" i="12" s="1"/>
  <c r="P337" i="11"/>
  <c r="M331" i="11"/>
  <c r="M26" i="11"/>
  <c r="M20" i="11" s="1"/>
  <c r="N11" i="11"/>
  <c r="N9" i="11" s="1"/>
  <c r="O31" i="11"/>
  <c r="L29" i="11"/>
  <c r="O32" i="10"/>
  <c r="L30" i="10"/>
  <c r="O30" i="10" s="1"/>
  <c r="O23" i="12"/>
  <c r="L13" i="12"/>
  <c r="O13" i="12" s="1"/>
  <c r="M12" i="10"/>
  <c r="P22" i="10"/>
  <c r="O638" i="10"/>
  <c r="L636" i="10"/>
  <c r="O636" i="10" s="1"/>
  <c r="O11" i="8"/>
  <c r="L9" i="8"/>
  <c r="O34" i="9"/>
  <c r="O96" i="7"/>
  <c r="L94" i="7"/>
  <c r="O94" i="7" s="1"/>
  <c r="N11" i="8"/>
  <c r="N9" i="8" s="1"/>
  <c r="N29" i="8"/>
  <c r="N28" i="8" s="1"/>
  <c r="P29" i="5"/>
  <c r="M28" i="5"/>
  <c r="P28" i="5" s="1"/>
  <c r="L53" i="5"/>
  <c r="O53" i="5" s="1"/>
  <c r="M9" i="6"/>
  <c r="P11" i="6"/>
  <c r="P22" i="6"/>
  <c r="M12" i="6"/>
  <c r="M20" i="6"/>
  <c r="O32" i="5"/>
  <c r="L30" i="5"/>
  <c r="O30" i="5" s="1"/>
  <c r="M20" i="4"/>
  <c r="P22" i="4"/>
  <c r="M12" i="4"/>
  <c r="O66" i="2"/>
  <c r="O43" i="3"/>
  <c r="P290" i="2"/>
  <c r="P43" i="3"/>
  <c r="M41" i="15"/>
  <c r="O23" i="15"/>
  <c r="L13" i="15"/>
  <c r="O13" i="15" s="1"/>
  <c r="O331" i="14"/>
  <c r="L329" i="14"/>
  <c r="O329" i="14" s="1"/>
  <c r="O19" i="14"/>
  <c r="L43" i="14"/>
  <c r="O45" i="14"/>
  <c r="L22" i="14"/>
  <c r="L55" i="14"/>
  <c r="O57" i="14"/>
  <c r="M28" i="13"/>
  <c r="P28" i="13" s="1"/>
  <c r="P29" i="13"/>
  <c r="P41" i="14"/>
  <c r="L14" i="13"/>
  <c r="O14" i="13" s="1"/>
  <c r="P19" i="11"/>
  <c r="L636" i="11"/>
  <c r="O636" i="11" s="1"/>
  <c r="O292" i="11"/>
  <c r="L290" i="11"/>
  <c r="O290" i="11" s="1"/>
  <c r="O43" i="12"/>
  <c r="L41" i="12"/>
  <c r="N271" i="12"/>
  <c r="N273" i="1"/>
  <c r="O142" i="10"/>
  <c r="L140" i="10"/>
  <c r="O144" i="12"/>
  <c r="L142" i="12"/>
  <c r="N20" i="10"/>
  <c r="N18" i="10" s="1"/>
  <c r="N12" i="10"/>
  <c r="N10" i="10" s="1"/>
  <c r="L11" i="9"/>
  <c r="O31" i="9"/>
  <c r="L29" i="9"/>
  <c r="P19" i="9"/>
  <c r="L13" i="9"/>
  <c r="O13" i="9" s="1"/>
  <c r="O23" i="9"/>
  <c r="P252" i="9"/>
  <c r="O120" i="7"/>
  <c r="L118" i="7"/>
  <c r="O118" i="7" s="1"/>
  <c r="L30" i="7"/>
  <c r="O30" i="7" s="1"/>
  <c r="O32" i="7"/>
  <c r="O640" i="6"/>
  <c r="L638" i="6"/>
  <c r="O120" i="9"/>
  <c r="L118" i="9"/>
  <c r="O118" i="9" s="1"/>
  <c r="L43" i="7"/>
  <c r="O45" i="7"/>
  <c r="L22" i="7"/>
  <c r="O640" i="4"/>
  <c r="L638" i="4"/>
  <c r="L16" i="5"/>
  <c r="O16" i="5" s="1"/>
  <c r="O26" i="5"/>
  <c r="O34" i="6"/>
  <c r="N292" i="1"/>
  <c r="M337" i="1"/>
  <c r="P337" i="1" s="1"/>
  <c r="P337" i="2"/>
  <c r="M26" i="2"/>
  <c r="M331" i="2"/>
  <c r="O120" i="6"/>
  <c r="L118" i="6"/>
  <c r="O118" i="6" s="1"/>
  <c r="O31" i="4"/>
  <c r="L29" i="4"/>
  <c r="O41" i="3"/>
  <c r="O142" i="3"/>
  <c r="L140" i="3"/>
  <c r="O140" i="3" s="1"/>
  <c r="O142" i="2"/>
  <c r="L140" i="2"/>
  <c r="P292" i="2"/>
  <c r="O329" i="3"/>
  <c r="L14" i="3"/>
  <c r="O14" i="3" s="1"/>
  <c r="O292" i="15"/>
  <c r="N290" i="15"/>
  <c r="O290" i="15" s="1"/>
  <c r="L9" i="15"/>
  <c r="O11" i="15"/>
  <c r="P19" i="14"/>
  <c r="P9" i="13"/>
  <c r="P11" i="11"/>
  <c r="M9" i="11"/>
  <c r="O11" i="11"/>
  <c r="L9" i="11"/>
  <c r="N12" i="12"/>
  <c r="N20" i="12"/>
  <c r="P43" i="11"/>
  <c r="O222" i="12"/>
  <c r="P55" i="10"/>
  <c r="M53" i="10"/>
  <c r="P53" i="10" s="1"/>
  <c r="L14" i="10"/>
  <c r="O14" i="10" s="1"/>
  <c r="P120" i="10"/>
  <c r="M120" i="1"/>
  <c r="O19" i="8"/>
  <c r="O32" i="9"/>
  <c r="L30" i="9"/>
  <c r="O30" i="9" s="1"/>
  <c r="L68" i="9"/>
  <c r="O70" i="9"/>
  <c r="M9" i="8"/>
  <c r="P11" i="8"/>
  <c r="O23" i="7"/>
  <c r="L13" i="7"/>
  <c r="O13" i="7" s="1"/>
  <c r="N12" i="9"/>
  <c r="N10" i="9" s="1"/>
  <c r="P41" i="8"/>
  <c r="O24" i="7"/>
  <c r="L14" i="7"/>
  <c r="O14" i="7" s="1"/>
  <c r="O19" i="5"/>
  <c r="O24" i="5"/>
  <c r="L14" i="5"/>
  <c r="O14" i="5" s="1"/>
  <c r="P142" i="5"/>
  <c r="M140" i="5"/>
  <c r="P140" i="5" s="1"/>
  <c r="P41" i="5"/>
  <c r="O23" i="5"/>
  <c r="L13" i="5"/>
  <c r="O13" i="5" s="1"/>
  <c r="N220" i="5"/>
  <c r="P222" i="5"/>
  <c r="N222" i="1"/>
  <c r="P29" i="6"/>
  <c r="M28" i="6"/>
  <c r="P28" i="6" s="1"/>
  <c r="O11" i="4"/>
  <c r="L9" i="4"/>
  <c r="O29" i="2"/>
  <c r="L28" i="2"/>
  <c r="L55" i="4"/>
  <c r="O57" i="4"/>
  <c r="P142" i="3"/>
  <c r="M140" i="3"/>
  <c r="M142" i="1"/>
  <c r="O120" i="3"/>
  <c r="L118" i="3"/>
  <c r="O118" i="3" s="1"/>
  <c r="L144" i="1"/>
  <c r="O144" i="1" s="1"/>
  <c r="O273" i="2"/>
  <c r="L271" i="2"/>
  <c r="O68" i="2"/>
  <c r="L638" i="14"/>
  <c r="O640" i="14"/>
  <c r="N12" i="15"/>
  <c r="N10" i="15" s="1"/>
  <c r="N20" i="15"/>
  <c r="N18" i="15" s="1"/>
  <c r="M94" i="15"/>
  <c r="P94" i="15" s="1"/>
  <c r="M26" i="15"/>
  <c r="P337" i="15"/>
  <c r="L290" i="14"/>
  <c r="O290" i="14" s="1"/>
  <c r="L220" i="13"/>
  <c r="O220" i="13" s="1"/>
  <c r="L290" i="13"/>
  <c r="O290" i="13" s="1"/>
  <c r="P11" i="12"/>
  <c r="M9" i="12"/>
  <c r="O222" i="11"/>
  <c r="L220" i="11"/>
  <c r="O220" i="11" s="1"/>
  <c r="N12" i="11"/>
  <c r="N10" i="11" s="1"/>
  <c r="N20" i="11"/>
  <c r="N18" i="11" s="1"/>
  <c r="P43" i="10"/>
  <c r="M41" i="10"/>
  <c r="L310" i="10"/>
  <c r="O310" i="10" s="1"/>
  <c r="P30" i="9"/>
  <c r="M28" i="9"/>
  <c r="P28" i="9" s="1"/>
  <c r="O640" i="9"/>
  <c r="L638" i="9"/>
  <c r="O98" i="9"/>
  <c r="L96" i="9"/>
  <c r="L98" i="1"/>
  <c r="O98" i="1" s="1"/>
  <c r="L41" i="9"/>
  <c r="P331" i="7"/>
  <c r="M329" i="7"/>
  <c r="P329" i="7" s="1"/>
  <c r="N12" i="7"/>
  <c r="N10" i="7" s="1"/>
  <c r="N20" i="7"/>
  <c r="N18" i="7" s="1"/>
  <c r="L55" i="7"/>
  <c r="O57" i="7"/>
  <c r="O23" i="8"/>
  <c r="L13" i="8"/>
  <c r="O13" i="8" s="1"/>
  <c r="O31" i="7"/>
  <c r="L11" i="7"/>
  <c r="L29" i="7"/>
  <c r="P337" i="5"/>
  <c r="M331" i="5"/>
  <c r="L271" i="8"/>
  <c r="O271" i="8" s="1"/>
  <c r="O26" i="8"/>
  <c r="L16" i="8"/>
  <c r="O16" i="8" s="1"/>
  <c r="P22" i="7"/>
  <c r="M12" i="7"/>
  <c r="M41" i="6"/>
  <c r="P43" i="6"/>
  <c r="P26" i="8"/>
  <c r="M16" i="8"/>
  <c r="P16" i="8" s="1"/>
  <c r="O31" i="5"/>
  <c r="L29" i="5"/>
  <c r="L11" i="5"/>
  <c r="N20" i="6"/>
  <c r="N18" i="6" s="1"/>
  <c r="N12" i="6"/>
  <c r="N10" i="6" s="1"/>
  <c r="N8" i="6" s="1"/>
  <c r="P102" i="5"/>
  <c r="M26" i="5"/>
  <c r="M20" i="5" s="1"/>
  <c r="M96" i="5"/>
  <c r="M102" i="1"/>
  <c r="L43" i="5"/>
  <c r="L22" i="5"/>
  <c r="O45" i="5"/>
  <c r="O142" i="4"/>
  <c r="L140" i="4"/>
  <c r="O140" i="4" s="1"/>
  <c r="L30" i="4"/>
  <c r="O30" i="4" s="1"/>
  <c r="O32" i="4"/>
  <c r="O23" i="3"/>
  <c r="L13" i="3"/>
  <c r="O13" i="3" s="1"/>
  <c r="P41" i="3"/>
  <c r="O26" i="4"/>
  <c r="L16" i="4"/>
  <c r="O16" i="4" s="1"/>
  <c r="P96" i="3"/>
  <c r="M94" i="3"/>
  <c r="P94" i="3" s="1"/>
  <c r="O55" i="3"/>
  <c r="L53" i="3"/>
  <c r="O53" i="3" s="1"/>
  <c r="L45" i="1"/>
  <c r="M28" i="1"/>
  <c r="P28" i="1" s="1"/>
  <c r="P142" i="15"/>
  <c r="M140" i="15"/>
  <c r="P140" i="15" s="1"/>
  <c r="O19" i="15"/>
  <c r="L29" i="15"/>
  <c r="O31" i="15"/>
  <c r="M53" i="14"/>
  <c r="P53" i="14" s="1"/>
  <c r="P55" i="14"/>
  <c r="O640" i="13"/>
  <c r="L638" i="13"/>
  <c r="P273" i="14"/>
  <c r="M273" i="1"/>
  <c r="P22" i="14"/>
  <c r="M12" i="14"/>
  <c r="O312" i="13"/>
  <c r="L310" i="13"/>
  <c r="O310" i="13" s="1"/>
  <c r="O34" i="12"/>
  <c r="L14" i="12"/>
  <c r="O14" i="12" s="1"/>
  <c r="L29" i="12"/>
  <c r="L11" i="12"/>
  <c r="O31" i="12"/>
  <c r="P19" i="12"/>
  <c r="O26" i="12"/>
  <c r="L16" i="12"/>
  <c r="O16" i="12" s="1"/>
  <c r="O19" i="12"/>
  <c r="N28" i="11"/>
  <c r="O23" i="11"/>
  <c r="L13" i="11"/>
  <c r="O13" i="11" s="1"/>
  <c r="O41" i="11"/>
  <c r="O43" i="11"/>
  <c r="P41" i="11"/>
  <c r="N11" i="12"/>
  <c r="N9" i="12" s="1"/>
  <c r="L41" i="10"/>
  <c r="O43" i="10"/>
  <c r="O312" i="9"/>
  <c r="P26" i="9"/>
  <c r="M16" i="9"/>
  <c r="P16" i="9" s="1"/>
  <c r="O640" i="8"/>
  <c r="L638" i="8"/>
  <c r="O26" i="10"/>
  <c r="L16" i="10"/>
  <c r="O16" i="10" s="1"/>
  <c r="M28" i="7"/>
  <c r="P28" i="7" s="1"/>
  <c r="P29" i="7"/>
  <c r="L290" i="9"/>
  <c r="O290" i="9" s="1"/>
  <c r="O23" i="10"/>
  <c r="L13" i="10"/>
  <c r="O13" i="10" s="1"/>
  <c r="P19" i="8"/>
  <c r="P22" i="9"/>
  <c r="M12" i="9"/>
  <c r="M20" i="9"/>
  <c r="P43" i="8"/>
  <c r="O26" i="7"/>
  <c r="L16" i="7"/>
  <c r="O16" i="7" s="1"/>
  <c r="L271" i="9"/>
  <c r="O271" i="9" s="1"/>
  <c r="O273" i="9"/>
  <c r="L68" i="8"/>
  <c r="O70" i="8"/>
  <c r="P22" i="8"/>
  <c r="M12" i="8"/>
  <c r="M20" i="8"/>
  <c r="O640" i="7"/>
  <c r="L638" i="7"/>
  <c r="O31" i="6"/>
  <c r="L29" i="6"/>
  <c r="L11" i="6"/>
  <c r="O222" i="5"/>
  <c r="L220" i="5"/>
  <c r="O32" i="6"/>
  <c r="L30" i="6"/>
  <c r="O30" i="6" s="1"/>
  <c r="O70" i="5"/>
  <c r="L68" i="5"/>
  <c r="O26" i="6"/>
  <c r="L16" i="6"/>
  <c r="O16" i="6" s="1"/>
  <c r="O292" i="5"/>
  <c r="L290" i="5"/>
  <c r="O290" i="5" s="1"/>
  <c r="P22" i="5"/>
  <c r="M12" i="5"/>
  <c r="O24" i="4"/>
  <c r="L14" i="4"/>
  <c r="O14" i="4" s="1"/>
  <c r="N20" i="5"/>
  <c r="N18" i="5" s="1"/>
  <c r="N12" i="5"/>
  <c r="N10" i="5" s="1"/>
  <c r="M94" i="6"/>
  <c r="P94" i="6" s="1"/>
  <c r="P96" i="6"/>
  <c r="O19" i="4"/>
  <c r="P9" i="2"/>
  <c r="P26" i="6"/>
  <c r="M16" i="6"/>
  <c r="P16" i="6" s="1"/>
  <c r="P55" i="3"/>
  <c r="M53" i="3"/>
  <c r="P53" i="3" s="1"/>
  <c r="O312" i="2"/>
  <c r="L310" i="2"/>
  <c r="O312" i="8" l="1"/>
  <c r="O120" i="5"/>
  <c r="L271" i="4"/>
  <c r="O271" i="4" s="1"/>
  <c r="L94" i="11"/>
  <c r="O94" i="11" s="1"/>
  <c r="O252" i="15"/>
  <c r="O638" i="15"/>
  <c r="L140" i="14"/>
  <c r="O140" i="14" s="1"/>
  <c r="O118" i="2"/>
  <c r="L250" i="8"/>
  <c r="O250" i="8" s="1"/>
  <c r="L94" i="13"/>
  <c r="O94" i="13" s="1"/>
  <c r="O331" i="7"/>
  <c r="P12" i="3"/>
  <c r="L250" i="3"/>
  <c r="L271" i="15"/>
  <c r="O271" i="15" s="1"/>
  <c r="L12" i="3"/>
  <c r="L10" i="3" s="1"/>
  <c r="N37" i="13"/>
  <c r="L220" i="9"/>
  <c r="O220" i="9" s="1"/>
  <c r="M20" i="7"/>
  <c r="M18" i="7" s="1"/>
  <c r="P18" i="7" s="1"/>
  <c r="O140" i="8"/>
  <c r="O142" i="8"/>
  <c r="L118" i="4"/>
  <c r="O118" i="4" s="1"/>
  <c r="O68" i="15"/>
  <c r="L329" i="9"/>
  <c r="O329" i="9" s="1"/>
  <c r="M16" i="7"/>
  <c r="P16" i="7" s="1"/>
  <c r="P41" i="1"/>
  <c r="M16" i="10"/>
  <c r="P16" i="10" s="1"/>
  <c r="L94" i="15"/>
  <c r="O94" i="15" s="1"/>
  <c r="L28" i="13"/>
  <c r="O28" i="13" s="1"/>
  <c r="L118" i="8"/>
  <c r="O118" i="8" s="1"/>
  <c r="L310" i="7"/>
  <c r="O310" i="7" s="1"/>
  <c r="L290" i="6"/>
  <c r="O290" i="6" s="1"/>
  <c r="L12" i="9"/>
  <c r="O12" i="9" s="1"/>
  <c r="L329" i="15"/>
  <c r="O329" i="15" s="1"/>
  <c r="L94" i="3"/>
  <c r="O94" i="3" s="1"/>
  <c r="L94" i="8"/>
  <c r="O94" i="8" s="1"/>
  <c r="O55" i="10"/>
  <c r="N20" i="1"/>
  <c r="N18" i="1" s="1"/>
  <c r="P26" i="10"/>
  <c r="O292" i="2"/>
  <c r="L94" i="10"/>
  <c r="O94" i="10" s="1"/>
  <c r="O222" i="15"/>
  <c r="L250" i="12"/>
  <c r="O250" i="12" s="1"/>
  <c r="L53" i="11"/>
  <c r="O53" i="11" s="1"/>
  <c r="L310" i="12"/>
  <c r="O310" i="12" s="1"/>
  <c r="O252" i="2"/>
  <c r="L636" i="5"/>
  <c r="O636" i="5" s="1"/>
  <c r="O28" i="2"/>
  <c r="O120" i="2"/>
  <c r="N8" i="10"/>
  <c r="N118" i="1"/>
  <c r="L329" i="5"/>
  <c r="O329" i="5" s="1"/>
  <c r="O68" i="6"/>
  <c r="L250" i="4"/>
  <c r="O250" i="4" s="1"/>
  <c r="L310" i="4"/>
  <c r="O310" i="4" s="1"/>
  <c r="O142" i="13"/>
  <c r="L94" i="2"/>
  <c r="O94" i="2" s="1"/>
  <c r="O96" i="2"/>
  <c r="L271" i="13"/>
  <c r="O271" i="13" s="1"/>
  <c r="O142" i="15"/>
  <c r="L20" i="6"/>
  <c r="L18" i="6" s="1"/>
  <c r="O18" i="6" s="1"/>
  <c r="L271" i="11"/>
  <c r="O271" i="11" s="1"/>
  <c r="L250" i="10"/>
  <c r="O250" i="10" s="1"/>
  <c r="O22" i="3"/>
  <c r="O222" i="6"/>
  <c r="O331" i="10"/>
  <c r="N66" i="1"/>
  <c r="L292" i="1"/>
  <c r="O292" i="1" s="1"/>
  <c r="O43" i="8"/>
  <c r="L271" i="12"/>
  <c r="O271" i="12" s="1"/>
  <c r="L94" i="6"/>
  <c r="O94" i="6" s="1"/>
  <c r="L252" i="1"/>
  <c r="O252" i="1" s="1"/>
  <c r="P20" i="3"/>
  <c r="L273" i="1"/>
  <c r="O273" i="1" s="1"/>
  <c r="O292" i="3"/>
  <c r="L636" i="2"/>
  <c r="O636" i="2" s="1"/>
  <c r="L9" i="14"/>
  <c r="O9" i="14" s="1"/>
  <c r="M329" i="10"/>
  <c r="P329" i="10" s="1"/>
  <c r="P43" i="1"/>
  <c r="L271" i="14"/>
  <c r="O271" i="14" s="1"/>
  <c r="L310" i="11"/>
  <c r="O310" i="11" s="1"/>
  <c r="N37" i="11"/>
  <c r="N8" i="7"/>
  <c r="L53" i="9"/>
  <c r="O53" i="9" s="1"/>
  <c r="L310" i="14"/>
  <c r="O310" i="14" s="1"/>
  <c r="O68" i="4"/>
  <c r="L66" i="4"/>
  <c r="O66" i="4" s="1"/>
  <c r="O273" i="3"/>
  <c r="O140" i="10"/>
  <c r="O22" i="4"/>
  <c r="L310" i="3"/>
  <c r="O310" i="3" s="1"/>
  <c r="L290" i="4"/>
  <c r="O290" i="4" s="1"/>
  <c r="O292" i="4"/>
  <c r="P120" i="1"/>
  <c r="O29" i="14"/>
  <c r="L28" i="14"/>
  <c r="O28" i="14" s="1"/>
  <c r="M292" i="1"/>
  <c r="P292" i="1" s="1"/>
  <c r="O34" i="1"/>
  <c r="O638" i="1"/>
  <c r="P118" i="8"/>
  <c r="O331" i="2"/>
  <c r="P20" i="9"/>
  <c r="O220" i="12"/>
  <c r="N37" i="10"/>
  <c r="P273" i="1"/>
  <c r="O222" i="2"/>
  <c r="O222" i="14"/>
  <c r="L222" i="1"/>
  <c r="O222" i="1" s="1"/>
  <c r="L120" i="1"/>
  <c r="O120" i="1" s="1"/>
  <c r="P55" i="1"/>
  <c r="O142" i="7"/>
  <c r="O57" i="1"/>
  <c r="L12" i="11"/>
  <c r="L10" i="11" s="1"/>
  <c r="O10" i="11" s="1"/>
  <c r="L142" i="1"/>
  <c r="O142" i="1" s="1"/>
  <c r="O22" i="11"/>
  <c r="L12" i="12"/>
  <c r="O12" i="12" s="1"/>
  <c r="L312" i="1"/>
  <c r="O312" i="1" s="1"/>
  <c r="L20" i="9"/>
  <c r="L18" i="9" s="1"/>
  <c r="O18" i="9" s="1"/>
  <c r="O273" i="7"/>
  <c r="L271" i="7"/>
  <c r="O271" i="7" s="1"/>
  <c r="O22" i="10"/>
  <c r="N140" i="1"/>
  <c r="N220" i="1"/>
  <c r="L66" i="11"/>
  <c r="O66" i="11" s="1"/>
  <c r="N37" i="8"/>
  <c r="L12" i="10"/>
  <c r="L10" i="10" s="1"/>
  <c r="L118" i="10"/>
  <c r="O118" i="10" s="1"/>
  <c r="N11" i="1"/>
  <c r="N9" i="1" s="1"/>
  <c r="O142" i="5"/>
  <c r="L140" i="5"/>
  <c r="O140" i="5" s="1"/>
  <c r="L28" i="10"/>
  <c r="O28" i="10" s="1"/>
  <c r="L53" i="12"/>
  <c r="O53" i="12" s="1"/>
  <c r="N10" i="2"/>
  <c r="N8" i="2" s="1"/>
  <c r="N8" i="14"/>
  <c r="P140" i="8"/>
  <c r="O220" i="10"/>
  <c r="M18" i="3"/>
  <c r="P18" i="3" s="1"/>
  <c r="N37" i="2"/>
  <c r="N250" i="1"/>
  <c r="P20" i="8"/>
  <c r="L118" i="11"/>
  <c r="O118" i="11" s="1"/>
  <c r="O222" i="3"/>
  <c r="L220" i="3"/>
  <c r="O220" i="3" s="1"/>
  <c r="N37" i="3"/>
  <c r="L53" i="6"/>
  <c r="O53" i="6" s="1"/>
  <c r="L12" i="8"/>
  <c r="L10" i="8" s="1"/>
  <c r="O10" i="8" s="1"/>
  <c r="O290" i="3"/>
  <c r="O329" i="2"/>
  <c r="N8" i="8"/>
  <c r="L94" i="5"/>
  <c r="O94" i="5" s="1"/>
  <c r="O22" i="12"/>
  <c r="L20" i="2"/>
  <c r="L18" i="2" s="1"/>
  <c r="O18" i="2" s="1"/>
  <c r="O640" i="1"/>
  <c r="P22" i="1"/>
  <c r="L12" i="2"/>
  <c r="L10" i="2" s="1"/>
  <c r="L636" i="1"/>
  <c r="O636" i="1" s="1"/>
  <c r="M96" i="1"/>
  <c r="P96" i="1" s="1"/>
  <c r="L329" i="12"/>
  <c r="O329" i="12" s="1"/>
  <c r="N8" i="9"/>
  <c r="P312" i="1"/>
  <c r="L20" i="8"/>
  <c r="O20" i="8" s="1"/>
  <c r="O222" i="8"/>
  <c r="L220" i="8"/>
  <c r="O220" i="8" s="1"/>
  <c r="L66" i="3"/>
  <c r="O66" i="3" s="1"/>
  <c r="N8" i="5"/>
  <c r="L331" i="1"/>
  <c r="O331" i="1" s="1"/>
  <c r="O222" i="7"/>
  <c r="L220" i="7"/>
  <c r="O220" i="7" s="1"/>
  <c r="M10" i="3"/>
  <c r="P10" i="3" s="1"/>
  <c r="P222" i="1"/>
  <c r="L68" i="1"/>
  <c r="O68" i="1" s="1"/>
  <c r="O220" i="5"/>
  <c r="P68" i="1"/>
  <c r="N37" i="9"/>
  <c r="N8" i="3"/>
  <c r="N8" i="15"/>
  <c r="P41" i="7"/>
  <c r="P271" i="13"/>
  <c r="M37" i="8"/>
  <c r="O31" i="1"/>
  <c r="L29" i="1"/>
  <c r="L11" i="1"/>
  <c r="P142" i="1"/>
  <c r="M250" i="1"/>
  <c r="N12" i="1"/>
  <c r="N10" i="1" s="1"/>
  <c r="O120" i="14"/>
  <c r="L118" i="14"/>
  <c r="O118" i="14" s="1"/>
  <c r="O273" i="6"/>
  <c r="L271" i="6"/>
  <c r="O271" i="6" s="1"/>
  <c r="M118" i="1"/>
  <c r="O26" i="1"/>
  <c r="L16" i="1"/>
  <c r="O16" i="1" s="1"/>
  <c r="O96" i="12"/>
  <c r="L94" i="12"/>
  <c r="O94" i="12" s="1"/>
  <c r="N28" i="1"/>
  <c r="L12" i="6"/>
  <c r="O12" i="6" s="1"/>
  <c r="N271" i="1"/>
  <c r="O33" i="1"/>
  <c r="L13" i="1"/>
  <c r="O13" i="1" s="1"/>
  <c r="O24" i="1"/>
  <c r="L14" i="1"/>
  <c r="O14" i="1" s="1"/>
  <c r="O11" i="3"/>
  <c r="L9" i="3"/>
  <c r="O9" i="3" s="1"/>
  <c r="O292" i="7"/>
  <c r="L290" i="7"/>
  <c r="O290" i="7" s="1"/>
  <c r="O29" i="8"/>
  <c r="L28" i="8"/>
  <c r="O28" i="8" s="1"/>
  <c r="M290" i="15"/>
  <c r="M290" i="1" s="1"/>
  <c r="L20" i="4"/>
  <c r="O32" i="1"/>
  <c r="L30" i="1"/>
  <c r="O30" i="1" s="1"/>
  <c r="O11" i="2"/>
  <c r="L9" i="2"/>
  <c r="O9" i="2" s="1"/>
  <c r="L28" i="3"/>
  <c r="O28" i="3" s="1"/>
  <c r="O29" i="3"/>
  <c r="M37" i="9"/>
  <c r="N8" i="13"/>
  <c r="M220" i="1"/>
  <c r="P26" i="13"/>
  <c r="M16" i="13"/>
  <c r="P16" i="13" s="1"/>
  <c r="P331" i="14"/>
  <c r="M329" i="14"/>
  <c r="P329" i="14" s="1"/>
  <c r="M66" i="1"/>
  <c r="P250" i="9"/>
  <c r="O43" i="15"/>
  <c r="L41" i="15"/>
  <c r="O41" i="15" s="1"/>
  <c r="O292" i="8"/>
  <c r="L290" i="8"/>
  <c r="O290" i="8" s="1"/>
  <c r="P312" i="13"/>
  <c r="M310" i="13"/>
  <c r="M20" i="12"/>
  <c r="M18" i="12" s="1"/>
  <c r="P26" i="12"/>
  <c r="M16" i="12"/>
  <c r="M94" i="12"/>
  <c r="P96" i="12"/>
  <c r="L118" i="13"/>
  <c r="O118" i="13" s="1"/>
  <c r="O120" i="13"/>
  <c r="M271" i="1"/>
  <c r="P252" i="1"/>
  <c r="N37" i="15"/>
  <c r="L250" i="5"/>
  <c r="O250" i="5" s="1"/>
  <c r="O252" i="5"/>
  <c r="L310" i="5"/>
  <c r="O310" i="5" s="1"/>
  <c r="O312" i="5"/>
  <c r="M16" i="14"/>
  <c r="P16" i="14" s="1"/>
  <c r="P26" i="14"/>
  <c r="P20" i="11"/>
  <c r="M18" i="11"/>
  <c r="P18" i="11" s="1"/>
  <c r="P20" i="5"/>
  <c r="M18" i="5"/>
  <c r="P18" i="5" s="1"/>
  <c r="P20" i="6"/>
  <c r="M18" i="6"/>
  <c r="P18" i="6" s="1"/>
  <c r="O20" i="12"/>
  <c r="O41" i="10"/>
  <c r="O29" i="15"/>
  <c r="L28" i="15"/>
  <c r="O28" i="15" s="1"/>
  <c r="L20" i="5"/>
  <c r="L12" i="5"/>
  <c r="O22" i="5"/>
  <c r="O41" i="9"/>
  <c r="P140" i="3"/>
  <c r="M140" i="1"/>
  <c r="O9" i="4"/>
  <c r="O68" i="9"/>
  <c r="L66" i="9"/>
  <c r="O66" i="9" s="1"/>
  <c r="P12" i="12"/>
  <c r="N10" i="12"/>
  <c r="O9" i="15"/>
  <c r="O29" i="4"/>
  <c r="L28" i="4"/>
  <c r="O28" i="4" s="1"/>
  <c r="P331" i="2"/>
  <c r="M329" i="2"/>
  <c r="M331" i="1"/>
  <c r="P331" i="1" s="1"/>
  <c r="O29" i="9"/>
  <c r="L28" i="9"/>
  <c r="O28" i="9" s="1"/>
  <c r="O43" i="14"/>
  <c r="L41" i="14"/>
  <c r="P12" i="6"/>
  <c r="M10" i="6"/>
  <c r="P10" i="6" s="1"/>
  <c r="N8" i="11"/>
  <c r="P20" i="13"/>
  <c r="M18" i="13"/>
  <c r="P18" i="13" s="1"/>
  <c r="P9" i="3"/>
  <c r="O68" i="10"/>
  <c r="L66" i="10"/>
  <c r="O66" i="10" s="1"/>
  <c r="P20" i="4"/>
  <c r="M18" i="4"/>
  <c r="P18" i="4" s="1"/>
  <c r="P12" i="10"/>
  <c r="M10" i="10"/>
  <c r="P10" i="10" s="1"/>
  <c r="O43" i="5"/>
  <c r="L41" i="5"/>
  <c r="O55" i="7"/>
  <c r="L53" i="7"/>
  <c r="O53" i="7" s="1"/>
  <c r="P9" i="12"/>
  <c r="P26" i="15"/>
  <c r="M16" i="15"/>
  <c r="M20" i="15"/>
  <c r="O638" i="14"/>
  <c r="L636" i="14"/>
  <c r="O636" i="14" s="1"/>
  <c r="O271" i="2"/>
  <c r="O9" i="11"/>
  <c r="M20" i="2"/>
  <c r="P26" i="2"/>
  <c r="M16" i="2"/>
  <c r="O43" i="7"/>
  <c r="L41" i="7"/>
  <c r="O638" i="6"/>
  <c r="L636" i="6"/>
  <c r="O636" i="6" s="1"/>
  <c r="P26" i="11"/>
  <c r="M16" i="11"/>
  <c r="P16" i="11" s="1"/>
  <c r="P9" i="10"/>
  <c r="P12" i="11"/>
  <c r="L20" i="13"/>
  <c r="O22" i="13"/>
  <c r="L12" i="13"/>
  <c r="P41" i="10"/>
  <c r="L10" i="4"/>
  <c r="O10" i="4" s="1"/>
  <c r="O12" i="4"/>
  <c r="O638" i="12"/>
  <c r="L636" i="12"/>
  <c r="O636" i="12" s="1"/>
  <c r="O638" i="13"/>
  <c r="L636" i="13"/>
  <c r="O636" i="13" s="1"/>
  <c r="P12" i="5"/>
  <c r="L28" i="6"/>
  <c r="O28" i="6" s="1"/>
  <c r="O29" i="6"/>
  <c r="O11" i="12"/>
  <c r="L9" i="12"/>
  <c r="L43" i="1"/>
  <c r="O45" i="1"/>
  <c r="L22" i="1"/>
  <c r="M26" i="1"/>
  <c r="P102" i="1"/>
  <c r="L9" i="5"/>
  <c r="O11" i="5"/>
  <c r="P41" i="6"/>
  <c r="M37" i="6"/>
  <c r="P37" i="6" s="1"/>
  <c r="O11" i="7"/>
  <c r="L9" i="7"/>
  <c r="L94" i="9"/>
  <c r="O94" i="9" s="1"/>
  <c r="O96" i="9"/>
  <c r="O12" i="3"/>
  <c r="O140" i="2"/>
  <c r="O11" i="9"/>
  <c r="L9" i="9"/>
  <c r="O142" i="12"/>
  <c r="L140" i="12"/>
  <c r="O140" i="12" s="1"/>
  <c r="O41" i="12"/>
  <c r="L18" i="10"/>
  <c r="O18" i="10" s="1"/>
  <c r="O20" i="10"/>
  <c r="P331" i="11"/>
  <c r="M329" i="11"/>
  <c r="O41" i="2"/>
  <c r="M37" i="4"/>
  <c r="P37" i="4" s="1"/>
  <c r="P41" i="4"/>
  <c r="O638" i="3"/>
  <c r="L636" i="3"/>
  <c r="O636" i="3" s="1"/>
  <c r="O41" i="6"/>
  <c r="P9" i="9"/>
  <c r="L20" i="7"/>
  <c r="O22" i="7"/>
  <c r="L12" i="7"/>
  <c r="O310" i="2"/>
  <c r="O11" i="6"/>
  <c r="L9" i="6"/>
  <c r="P12" i="8"/>
  <c r="M10" i="8"/>
  <c r="P10" i="8" s="1"/>
  <c r="P12" i="9"/>
  <c r="M10" i="9"/>
  <c r="P10" i="9" s="1"/>
  <c r="L18" i="12"/>
  <c r="L28" i="7"/>
  <c r="O28" i="7" s="1"/>
  <c r="O29" i="7"/>
  <c r="M18" i="8"/>
  <c r="P18" i="8" s="1"/>
  <c r="M37" i="7"/>
  <c r="P37" i="7" s="1"/>
  <c r="O638" i="8"/>
  <c r="L636" i="8"/>
  <c r="O636" i="8" s="1"/>
  <c r="O29" i="12"/>
  <c r="L28" i="12"/>
  <c r="O28" i="12" s="1"/>
  <c r="P12" i="14"/>
  <c r="P96" i="5"/>
  <c r="M94" i="5"/>
  <c r="L28" i="5"/>
  <c r="O28" i="5" s="1"/>
  <c r="O29" i="5"/>
  <c r="P20" i="7"/>
  <c r="N18" i="12"/>
  <c r="O55" i="4"/>
  <c r="L53" i="4"/>
  <c r="O53" i="4" s="1"/>
  <c r="P9" i="8"/>
  <c r="O20" i="11"/>
  <c r="L18" i="11"/>
  <c r="O18" i="11" s="1"/>
  <c r="P9" i="11"/>
  <c r="M18" i="14"/>
  <c r="P18" i="14" s="1"/>
  <c r="O638" i="4"/>
  <c r="L636" i="4"/>
  <c r="O636" i="4" s="1"/>
  <c r="O55" i="14"/>
  <c r="L53" i="14"/>
  <c r="O53" i="14" s="1"/>
  <c r="P12" i="4"/>
  <c r="M10" i="4"/>
  <c r="O250" i="3"/>
  <c r="P9" i="6"/>
  <c r="O9" i="8"/>
  <c r="P20" i="10"/>
  <c r="M18" i="10"/>
  <c r="P18" i="10" s="1"/>
  <c r="P12" i="15"/>
  <c r="O22" i="15"/>
  <c r="L12" i="15"/>
  <c r="L20" i="15"/>
  <c r="O55" i="13"/>
  <c r="L53" i="13"/>
  <c r="N290" i="1"/>
  <c r="O68" i="5"/>
  <c r="L66" i="5"/>
  <c r="O66" i="5" s="1"/>
  <c r="P331" i="5"/>
  <c r="M329" i="5"/>
  <c r="P329" i="5" s="1"/>
  <c r="O638" i="7"/>
  <c r="L636" i="7"/>
  <c r="O636" i="7" s="1"/>
  <c r="O68" i="8"/>
  <c r="L66" i="8"/>
  <c r="M37" i="3"/>
  <c r="P26" i="5"/>
  <c r="M16" i="5"/>
  <c r="P16" i="5" s="1"/>
  <c r="P12" i="7"/>
  <c r="O638" i="9"/>
  <c r="L636" i="9"/>
  <c r="O636" i="9" s="1"/>
  <c r="O20" i="3"/>
  <c r="L18" i="3"/>
  <c r="O18" i="3" s="1"/>
  <c r="M18" i="9"/>
  <c r="P18" i="9" s="1"/>
  <c r="L20" i="14"/>
  <c r="O22" i="14"/>
  <c r="L12" i="14"/>
  <c r="P41" i="15"/>
  <c r="L28" i="11"/>
  <c r="O28" i="11" s="1"/>
  <c r="O29" i="11"/>
  <c r="P12" i="13"/>
  <c r="O55" i="15"/>
  <c r="L53" i="15"/>
  <c r="L96" i="1"/>
  <c r="O96" i="1" s="1"/>
  <c r="O41" i="4"/>
  <c r="P220" i="5"/>
  <c r="N37" i="12"/>
  <c r="O55" i="1"/>
  <c r="L53" i="1"/>
  <c r="O53" i="1" s="1"/>
  <c r="N37" i="5"/>
  <c r="L10" i="9" l="1"/>
  <c r="O10" i="9" s="1"/>
  <c r="M10" i="7"/>
  <c r="M8" i="7" s="1"/>
  <c r="P8" i="7" s="1"/>
  <c r="P118" i="1"/>
  <c r="L37" i="2"/>
  <c r="O37" i="2" s="1"/>
  <c r="M37" i="10"/>
  <c r="P37" i="10" s="1"/>
  <c r="O20" i="9"/>
  <c r="L220" i="1"/>
  <c r="O220" i="1" s="1"/>
  <c r="O20" i="6"/>
  <c r="P66" i="1"/>
  <c r="O12" i="2"/>
  <c r="P37" i="9"/>
  <c r="N37" i="1"/>
  <c r="P37" i="8"/>
  <c r="L10" i="6"/>
  <c r="O10" i="6" s="1"/>
  <c r="L10" i="12"/>
  <c r="L8" i="12" s="1"/>
  <c r="L329" i="1"/>
  <c r="O329" i="1" s="1"/>
  <c r="O12" i="8"/>
  <c r="P37" i="3"/>
  <c r="O12" i="11"/>
  <c r="O20" i="2"/>
  <c r="P140" i="1"/>
  <c r="P12" i="1"/>
  <c r="M8" i="3"/>
  <c r="P8" i="3" s="1"/>
  <c r="O12" i="10"/>
  <c r="L37" i="11"/>
  <c r="O37" i="11" s="1"/>
  <c r="P220" i="1"/>
  <c r="N8" i="1"/>
  <c r="P250" i="1"/>
  <c r="M37" i="15"/>
  <c r="P37" i="15" s="1"/>
  <c r="L37" i="3"/>
  <c r="O37" i="3" s="1"/>
  <c r="P290" i="15"/>
  <c r="L18" i="8"/>
  <c r="O18" i="8" s="1"/>
  <c r="L290" i="1"/>
  <c r="O290" i="1" s="1"/>
  <c r="M10" i="14"/>
  <c r="P10" i="14" s="1"/>
  <c r="L37" i="6"/>
  <c r="O37" i="6" s="1"/>
  <c r="L140" i="1"/>
  <c r="O140" i="1" s="1"/>
  <c r="M10" i="5"/>
  <c r="P10" i="5" s="1"/>
  <c r="L271" i="1"/>
  <c r="O271" i="1" s="1"/>
  <c r="L118" i="1"/>
  <c r="O118" i="1" s="1"/>
  <c r="L310" i="1"/>
  <c r="O310" i="1" s="1"/>
  <c r="M37" i="14"/>
  <c r="P37" i="14" s="1"/>
  <c r="M10" i="13"/>
  <c r="P10" i="13" s="1"/>
  <c r="L37" i="4"/>
  <c r="O37" i="4" s="1"/>
  <c r="M8" i="6"/>
  <c r="P8" i="6" s="1"/>
  <c r="M8" i="9"/>
  <c r="P8" i="9" s="1"/>
  <c r="L8" i="11"/>
  <c r="O8" i="11" s="1"/>
  <c r="P271" i="1"/>
  <c r="L250" i="1"/>
  <c r="O250" i="1" s="1"/>
  <c r="M10" i="11"/>
  <c r="P10" i="11" s="1"/>
  <c r="O11" i="1"/>
  <c r="L9" i="1"/>
  <c r="O9" i="1" s="1"/>
  <c r="O29" i="1"/>
  <c r="L28" i="1"/>
  <c r="O28" i="1" s="1"/>
  <c r="O20" i="4"/>
  <c r="L18" i="4"/>
  <c r="O18" i="4" s="1"/>
  <c r="P94" i="12"/>
  <c r="M37" i="12"/>
  <c r="P37" i="12" s="1"/>
  <c r="P310" i="13"/>
  <c r="M37" i="13"/>
  <c r="P37" i="13" s="1"/>
  <c r="P18" i="12"/>
  <c r="P20" i="12"/>
  <c r="M8" i="8"/>
  <c r="P8" i="8" s="1"/>
  <c r="N8" i="12"/>
  <c r="M10" i="12"/>
  <c r="M8" i="12" s="1"/>
  <c r="P16" i="12"/>
  <c r="M310" i="1"/>
  <c r="P310" i="1" s="1"/>
  <c r="O53" i="15"/>
  <c r="L37" i="15"/>
  <c r="O37" i="15" s="1"/>
  <c r="P10" i="4"/>
  <c r="M8" i="4"/>
  <c r="P8" i="4" s="1"/>
  <c r="O18" i="12"/>
  <c r="O9" i="6"/>
  <c r="O20" i="7"/>
  <c r="L18" i="7"/>
  <c r="O18" i="7" s="1"/>
  <c r="O9" i="7"/>
  <c r="O9" i="12"/>
  <c r="M8" i="10"/>
  <c r="P8" i="10" s="1"/>
  <c r="L66" i="1"/>
  <c r="O66" i="1" s="1"/>
  <c r="O10" i="2"/>
  <c r="L8" i="2"/>
  <c r="O8" i="2" s="1"/>
  <c r="P94" i="5"/>
  <c r="M37" i="5"/>
  <c r="P37" i="5" s="1"/>
  <c r="L37" i="7"/>
  <c r="O37" i="7" s="1"/>
  <c r="O41" i="7"/>
  <c r="L8" i="8"/>
  <c r="O8" i="8" s="1"/>
  <c r="O12" i="15"/>
  <c r="L10" i="15"/>
  <c r="M20" i="1"/>
  <c r="P26" i="1"/>
  <c r="M16" i="1"/>
  <c r="L10" i="13"/>
  <c r="O12" i="13"/>
  <c r="P16" i="2"/>
  <c r="M10" i="2"/>
  <c r="L37" i="14"/>
  <c r="O37" i="14" s="1"/>
  <c r="O41" i="14"/>
  <c r="L37" i="9"/>
  <c r="O37" i="9" s="1"/>
  <c r="O53" i="13"/>
  <c r="L37" i="13"/>
  <c r="O37" i="13" s="1"/>
  <c r="O10" i="10"/>
  <c r="L8" i="10"/>
  <c r="O8" i="10" s="1"/>
  <c r="O20" i="15"/>
  <c r="L18" i="15"/>
  <c r="O18" i="15" s="1"/>
  <c r="P10" i="7"/>
  <c r="O66" i="8"/>
  <c r="L37" i="8"/>
  <c r="O37" i="8" s="1"/>
  <c r="L10" i="14"/>
  <c r="O12" i="14"/>
  <c r="O9" i="9"/>
  <c r="O10" i="3"/>
  <c r="L8" i="3"/>
  <c r="O8" i="3" s="1"/>
  <c r="O22" i="1"/>
  <c r="L12" i="1"/>
  <c r="L20" i="1"/>
  <c r="P20" i="15"/>
  <c r="M18" i="15"/>
  <c r="P18" i="15" s="1"/>
  <c r="P329" i="2"/>
  <c r="M329" i="1"/>
  <c r="P329" i="1" s="1"/>
  <c r="M37" i="2"/>
  <c r="P37" i="2" s="1"/>
  <c r="L8" i="4"/>
  <c r="O8" i="4" s="1"/>
  <c r="L37" i="10"/>
  <c r="O37" i="10" s="1"/>
  <c r="P329" i="11"/>
  <c r="M37" i="11"/>
  <c r="P37" i="11" s="1"/>
  <c r="O9" i="5"/>
  <c r="L94" i="1"/>
  <c r="O94" i="1" s="1"/>
  <c r="P290" i="1"/>
  <c r="O20" i="13"/>
  <c r="L18" i="13"/>
  <c r="O18" i="13" s="1"/>
  <c r="P20" i="2"/>
  <c r="M18" i="2"/>
  <c r="P18" i="2" s="1"/>
  <c r="P16" i="15"/>
  <c r="M10" i="15"/>
  <c r="O41" i="5"/>
  <c r="L37" i="5"/>
  <c r="O37" i="5" s="1"/>
  <c r="O12" i="5"/>
  <c r="L10" i="5"/>
  <c r="O10" i="5" s="1"/>
  <c r="O20" i="14"/>
  <c r="L18" i="14"/>
  <c r="O18" i="14" s="1"/>
  <c r="M94" i="1"/>
  <c r="L10" i="7"/>
  <c r="O10" i="7" s="1"/>
  <c r="O12" i="7"/>
  <c r="L37" i="12"/>
  <c r="O37" i="12" s="1"/>
  <c r="O43" i="1"/>
  <c r="L41" i="1"/>
  <c r="O20" i="5"/>
  <c r="L18" i="5"/>
  <c r="O18" i="5" s="1"/>
  <c r="L8" i="9" l="1"/>
  <c r="O8" i="9" s="1"/>
  <c r="O10" i="12"/>
  <c r="L8" i="6"/>
  <c r="O8" i="6" s="1"/>
  <c r="M8" i="13"/>
  <c r="P8" i="13" s="1"/>
  <c r="M8" i="5"/>
  <c r="P8" i="5" s="1"/>
  <c r="M8" i="14"/>
  <c r="P8" i="14" s="1"/>
  <c r="P8" i="12"/>
  <c r="P10" i="12"/>
  <c r="M8" i="11"/>
  <c r="P8" i="11" s="1"/>
  <c r="O8" i="12"/>
  <c r="O20" i="1"/>
  <c r="L18" i="1"/>
  <c r="O18" i="1" s="1"/>
  <c r="P10" i="2"/>
  <c r="M8" i="2"/>
  <c r="P8" i="2" s="1"/>
  <c r="P20" i="1"/>
  <c r="M18" i="1"/>
  <c r="P18" i="1" s="1"/>
  <c r="L8" i="7"/>
  <c r="O8" i="7" s="1"/>
  <c r="O41" i="1"/>
  <c r="L37" i="1"/>
  <c r="O37" i="1" s="1"/>
  <c r="P10" i="15"/>
  <c r="M8" i="15"/>
  <c r="P8" i="15" s="1"/>
  <c r="O10" i="15"/>
  <c r="L8" i="15"/>
  <c r="O8" i="15" s="1"/>
  <c r="P16" i="1"/>
  <c r="M10" i="1"/>
  <c r="L8" i="5"/>
  <c r="O8" i="5" s="1"/>
  <c r="O12" i="1"/>
  <c r="L10" i="1"/>
  <c r="O10" i="13"/>
  <c r="L8" i="13"/>
  <c r="O8" i="13" s="1"/>
  <c r="P94" i="1"/>
  <c r="M37" i="1"/>
  <c r="P37" i="1" s="1"/>
  <c r="O10" i="14"/>
  <c r="L8" i="14"/>
  <c r="O8" i="14" s="1"/>
  <c r="O10" i="1" l="1"/>
  <c r="L8" i="1"/>
  <c r="O8" i="1" s="1"/>
  <c r="P10" i="1"/>
  <c r="M8" i="1"/>
  <c r="P8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L32" authorId="0" shapeId="0" xr:uid="{00000000-0006-0000-0800-000001000000}">
      <text>
        <r>
          <rPr>
            <sz val="11"/>
            <color theme="1"/>
            <rFont val="Calibri"/>
            <scheme val="minor"/>
          </rPr>
          <t>หักงบลงทุนออก</t>
        </r>
      </text>
    </comment>
  </commentList>
</comments>
</file>

<file path=xl/sharedStrings.xml><?xml version="1.0" encoding="utf-8"?>
<sst xmlns="http://schemas.openxmlformats.org/spreadsheetml/2006/main" count="19740" uniqueCount="291">
  <si>
    <t>รายละเอียดแผนงาน/โครงการ ผลผลิต/กิจกรรม ปีงบประมาณ พ.ศ. 2565</t>
  </si>
  <si>
    <t>ภาคใต้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</si>
  <si>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</si>
  <si>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</si>
  <si>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</si>
  <si>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</si>
  <si>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</si>
  <si>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</si>
  <si>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</si>
  <si>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</si>
  <si>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</si>
  <si>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</si>
  <si>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</si>
  <si>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</si>
  <si>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</si>
  <si>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</si>
  <si>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</si>
  <si>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</si>
  <si>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</si>
  <si>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</si>
  <si>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</si>
  <si>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- งบบริหารสำนักงาน</t>
  </si>
  <si>
    <t>- งบเนื้องาน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</si>
  <si>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</si>
  <si>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</si>
  <si>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</si>
  <si>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2565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</si>
  <si>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</si>
  <si>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</si>
  <si>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</si>
  <si>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</si>
  <si>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</si>
  <si>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</si>
  <si>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</si>
  <si>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</si>
  <si>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</si>
  <si>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</si>
  <si>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</si>
  <si>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 - ส.ป.ก.ส่วนกลาง </t>
  </si>
  <si>
    <t xml:space="preserve"> </t>
  </si>
  <si>
    <t xml:space="preserve"> - ส.ป.ก.จังหวัด  </t>
  </si>
  <si>
    <t xml:space="preserve"> - งบบริหารสำนักงาน</t>
  </si>
  <si>
    <t xml:space="preserve"> - งบเนื้องาน</t>
  </si>
  <si>
    <t>ขั้นตอนการดำเนินงาน (ระบุ 1 ในช่อง 1 2  หรือ 3 เพียงข้อเดียว เท่านั้น)</t>
  </si>
  <si>
    <t>ยังไม่ดำเนินการ</t>
  </si>
  <si>
    <t xml:space="preserve">อยู่ระหว่างดำเนินการ </t>
  </si>
  <si>
    <t>2.1 จัดทำโครงการ (ดำเนินการแล้วเสร็จให้ระบุ 1)</t>
  </si>
  <si>
    <t>2.2 อยู่ระหว่างดำเนินการตามโครงการ (ถ้าอยู่ระหว่างดำเนินการให้ระบุ 1)</t>
  </si>
  <si>
    <t xml:space="preserve"> - อบรมเกษตรกร  </t>
  </si>
  <si>
    <t xml:space="preserve"> - แปลงใหญ่ ปี 2565</t>
  </si>
  <si>
    <t xml:space="preserve"> - แปลงใหญ่ ปี 2564</t>
  </si>
  <si>
    <t xml:space="preserve"> - แปลงใหญ่ ปี 2563</t>
  </si>
  <si>
    <t xml:space="preserve"> - สนับสนุนปัจจัยการผลิต</t>
  </si>
  <si>
    <t>2.3 ประเมินผล (ดำเนินการแล้วเสร็จให้ระบุ 1)</t>
  </si>
  <si>
    <t>ดำเนินการแล้วเสร็จ</t>
  </si>
  <si>
    <t>โครงการที่ 2 : โครงการส่งเสริมการผลิตสินค้าเกษตรเศรษฐกิจชีวภาพ
ตามความต้องการของตลาด (พืชสมุนไพร แมลงเศรษฐกิจ และไม้มีค่า)</t>
  </si>
  <si>
    <t>กิจกรรม ส่งเสริมการแปรรูปสมุนไพรด้วยโรงอบพลังงานแสงอาทิตย์ต้นทุนต่ำ
ในเขตปฏิรูปที่ดิน</t>
  </si>
  <si>
    <t xml:space="preserve">  จัดทำโรงอบ (งบลงทุน)</t>
  </si>
  <si>
    <t>แห่ง</t>
  </si>
  <si>
    <t>1. การเตรียมการ (การจัดทำฐานข้อมูลสมุนไพรและแผนการผลิตคามความต้องการตลาด)</t>
  </si>
  <si>
    <t>จังหวัด</t>
  </si>
  <si>
    <t>2. อบรมเกษตรกรผู้เข้าร่วมโครงการ (หลักสูตรที่ 1-3 เป้าหมายเดียวกัน)</t>
  </si>
  <si>
    <t>หลักสูตรที่ 1 การใช้ประโยชน์และการดูแลรักษาโรงอบพลังงานแสงอาทิตย์ต้นทุนต่ำ</t>
  </si>
  <si>
    <t>หลักสูตรที่ 2 การเพิ่มมูลค่าผลิตภัณฑ์สมุนไพรและมาตรฐานสินค้า</t>
  </si>
  <si>
    <t>หลักสูตรที่ 3 การส่งเสริมด้านการตลาดผลิตภัณฑ์สมุนไพ</t>
  </si>
  <si>
    <t>3. จัดทำโรงอบ (งบลงทุน)</t>
  </si>
  <si>
    <t xml:space="preserve">โครงการที่ 3 : โครงการส่งเสริมสินค้าเกษตรเข้าสู่ระบบรับรองมาตรฐานเกษตรปลอดภัย เกษตรอินทรีย์ และระบบตรวจสอบย้อนกลับ </t>
  </si>
  <si>
    <t xml:space="preserve"> กิจกรรมเตรียมความพร้อมเกษตรกรเข้าสู่ระบบรับรองมาตรฐานเกษตรปลอดภัยและการตรวจรับรองมาตรฐาน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</si>
  <si>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</si>
  <si>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 xml:space="preserve"> - อบรมเกษตรกร</t>
  </si>
  <si>
    <t xml:space="preserve"> - เกษตรกรยื่นขอรับการรับรองมาตรฐานสินค้า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</si>
  <si>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</si>
  <si>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</si>
  <si>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>กิจกรรมพัฒนาตามแนวทางพระราชดำริ</t>
  </si>
  <si>
    <t>(เป้าหมายโครงการ เกษตรกรผู้เข้ารับการอบรมจากโครงการหญ้าแฝก และโครงการพระราชดำริ 11 พื้นที่)</t>
  </si>
  <si>
    <t>(1) โครงการคลินิกเกษตรเคลื่อนที่ในพระราชานุเคราะห์ ฯ</t>
  </si>
  <si>
    <t>ครั้ง</t>
  </si>
  <si>
    <t>งบประมาณ</t>
  </si>
  <si>
    <t xml:space="preserve"> 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</si>
  <si>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</si>
  <si>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</si>
  <si>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</si>
  <si>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</si>
  <si>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</si>
  <si>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 xml:space="preserve"> - จัดฝึกอบรม</t>
  </si>
  <si>
    <t>(3) โครงการเพิ่มศักยภาพระบบงานเกษตรภายใต้แผนพัฒนาเด็กและเยาวชนในถิ่นทุรกันดารฯ</t>
  </si>
  <si>
    <t xml:space="preserve"> - สนับสนุนวัสดุการเกษตร</t>
  </si>
  <si>
    <t xml:space="preserve"> 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</si>
  <si>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</si>
  <si>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</si>
  <si>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 xml:space="preserve"> 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</si>
  <si>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</si>
  <si>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</si>
  <si>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 xml:space="preserve"> - การฝึกอบรมจัดทำแปลงเรียนรู้
ประโยชน์จากหญ้าแฝก </t>
  </si>
  <si>
    <t>(5) โครงการอันเนื่องมาจากพระราชดำริพัฒนาความรู้ 12 โครงการ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</si>
  <si>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</si>
  <si>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</si>
  <si>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</si>
  <si>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 xml:space="preserve">กิจกรรมพัฒนาและส่งเสริมศิลปหัตถกรรม  </t>
  </si>
  <si>
    <t xml:space="preserve">(1) หลักสูตรศิลปาชีพเพื่อเกษตรในเขตปฏิรูปที่ดิน  (อบรมโดย ส.ป.ก.จังหวัด)  </t>
  </si>
  <si>
    <t xml:space="preserve">(2) หลักสูตรศิลปาชีพเพื่อผู้สนใจ (อบรมโดย ศพส.)  </t>
  </si>
  <si>
    <t xml:space="preserve"> - อบรมเกษตรกร </t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</si>
  <si>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</si>
  <si>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</si>
  <si>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กิจกรรมสร้างและพัฒนาเกษตรกรรุ่นใหม่</t>
  </si>
  <si>
    <t>1. พัฒนาพื้นที่/จัดตั้งศูนย์ต้นแบบ/องค์ความรู้</t>
  </si>
  <si>
    <t>2. พัฒนาเกษตรกร (ฝึกอบรมและขยายผลองค์ความรู้ฯ)</t>
  </si>
  <si>
    <t>3. สนับสนุนปัจจัยการผลิต</t>
  </si>
  <si>
    <t>4. คัดเลือกเกษตรกรต้นแบบ (จังหวัดละ 1 ราย)</t>
  </si>
  <si>
    <t>กิจกรรมพัฒนาเกษตรกรปราดเปรื่องในเขตปฏิรูปที่ดิน (Smart Farmer)</t>
  </si>
  <si>
    <t xml:space="preserve"> - พัฒนาเกษตรกร (ฝึกอบรมและขยายผลองค์ความรู้ฯ)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</si>
  <si>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</si>
  <si>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กิจกรรมยกระดับรายได้เกษตรกรในเขตปฏิรูปที่ดินเพื่อลดความเหลื่อมล้ำ</t>
  </si>
  <si>
    <t xml:space="preserve"> - อบรมเชิงปฏิบัติการเพื่อถ่ายทอดองค์ความรู้สร้างความเข้มแข็งของสหกรณ์</t>
  </si>
  <si>
    <t xml:space="preserve">   และการเพิ่มมูลค่าสินค้าทางการเกษตร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</si>
  <si>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</si>
  <si>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</si>
  <si>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</si>
  <si>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</si>
  <si>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กิจกรรมจัดที่ดิน (ข้อมูลจาก ALRO Land Online)</t>
  </si>
  <si>
    <t>แปลงเกษตรกรรม</t>
  </si>
  <si>
    <t>- รังวัด</t>
  </si>
  <si>
    <t>ไร่</t>
  </si>
  <si>
    <t>- สอบสวนสิทธิ</t>
  </si>
  <si>
    <t>- คปจ.</t>
  </si>
  <si>
    <t>- มอบ ส.ป.ก. 4-01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</si>
  <si>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</si>
  <si>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</t>
  </si>
  <si>
    <t>โครงการส่งเสริมเกษตรอินทรีย์ในเขตปฏิรูปที่ดิน</t>
  </si>
  <si>
    <t xml:space="preserve">    - งบบริหารสำนักงาน</t>
  </si>
  <si>
    <t xml:space="preserve">    - งบเนื้องาน</t>
  </si>
  <si>
    <t xml:space="preserve">       1) ฝึกอบรม </t>
  </si>
  <si>
    <t xml:space="preserve">       2) วัสดุการเกษตร </t>
  </si>
  <si>
    <t xml:space="preserve">       3) จ้างเหมาบริการ</t>
  </si>
  <si>
    <t xml:space="preserve">       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</si>
  <si>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 xml:space="preserve">   1. หลักสูตรสำหรับสร้างและพัฒนากลไลเพื่อขับเคลื่อนงานเกษตรอินทรีย์ </t>
  </si>
  <si>
    <t xml:space="preserve">      ในเขตปฏิรูปที่ดิน  โดย : สพท. </t>
  </si>
  <si>
    <t xml:space="preserve">   2. หลักสูตรสำหรับส่งเสริมเกษตรอินทรีย์โดยใช้กระบวนการโรงเรียนเกษตรกร</t>
  </si>
  <si>
    <t>- จัดฝึกอบรมโดยใช้กระบวนการโรงเรียนเกษตรกร</t>
  </si>
  <si>
    <t>- กลุ่ม/พื้นที่เดิม (ขั้นที่ 2-3)</t>
  </si>
  <si>
    <t>- กลุ่ม/พื้นที่ใหม่ (ขั้นที่ 1)</t>
  </si>
  <si>
    <t xml:space="preserve">   3. หลักสูตรสำหรับการเพิ่มช่องทางบริหารจัดการตลาดสินค้าเกษตรอินทรีย์</t>
  </si>
  <si>
    <t xml:space="preserve">      โดยตรงถึงผู้บริโภค โดย : สพท. </t>
  </si>
  <si>
    <t xml:space="preserve"> - พื้นที่ใหม่ (ขั้นที่ 1)</t>
  </si>
  <si>
    <t xml:space="preserve"> - พื้นที่เดิม (ขั้นที่ 2-3)</t>
  </si>
  <si>
    <t>โครงการส่งเสริมระบบวนเกษตรในเขตปฏิรูปที่ดิน</t>
  </si>
  <si>
    <t>ส่งเสริมระบบวนเกษตรในเขตปฏิรูปที่ดิน</t>
  </si>
  <si>
    <t>โครงการส่งเสริมและพัฒนาเกษตรทฤษฎีใหม่ในเขตปฏิรูปที่ดิน</t>
  </si>
  <si>
    <t>ขั้นที่ 1 (อบรมรายละ 2 หลักสูตร)</t>
  </si>
  <si>
    <t xml:space="preserve"> -หลักสูตร ศึกษาดูงาน "สร้างแรงบันดาลใจในการเปลี่ยนเป็นเกษตรทฤษฏีใหม่</t>
  </si>
  <si>
    <t xml:space="preserve"> -หลักสูตร การเปลี่ยนแปลงวิธีทำเกษตรแบบเดิมสู่เกษตรทฤษฏีใหม่</t>
  </si>
  <si>
    <t>ขั้นที่ 2 (เป้าหมาย ร้อยละ 50 ของเกษตรกรผู้เข้าร่วม ปี 2564) (อบรมรายละ 3 หลักสูตร)</t>
  </si>
  <si>
    <t xml:space="preserve"> -หลักสูตร หลักสสูตรการส่งเสริมการรวมกลุ่ม</t>
  </si>
  <si>
    <t xml:space="preserve"> -หลักสูตร หลักสูตรการเพิ่มมูลค่าผลผลผลิตและการแปรรูปในรูปแบบกลุ่ม</t>
  </si>
  <si>
    <t xml:space="preserve"> -หลักสูตร หลักสูตรการบริหารจัดการตลาด</t>
  </si>
  <si>
    <t>ขั้นที่ 3 (เป้าหมาย ร้อยละ 50 ของเกษตรกรผู้เข้าร่วม ปี 2564) (อบรมรายละ 2 หลักสูตร)</t>
  </si>
  <si>
    <t xml:space="preserve"> -หลักสูตร หลักสูตรมาตรฐานการผลิต</t>
  </si>
  <si>
    <t xml:space="preserve"> -หลักสูตร หลักสูตรการพัฒนาบรรจุภัณฑ์</t>
  </si>
  <si>
    <t>ขั้นที่ 1</t>
  </si>
  <si>
    <t>ขั้นที่ 2</t>
  </si>
  <si>
    <t>โครงการพัฒนาธุรกิจชุมชนในเขตปฏิรูปที่ดิน</t>
  </si>
  <si>
    <t>2.1 จัดทำโครงการ (ดำเนินการแล้วให้ระบุ 1)</t>
  </si>
  <si>
    <t xml:space="preserve"> - หลักสูตรการแปรรูปและการพัฒนาสินค้า การตลาดและการบริหารจัดการธุรกิจ โดย ส.ป.ก.จังหวัด</t>
  </si>
  <si>
    <t xml:space="preserve"> - หลักสูตรการสร้างความเข้มแข็งและพัฒธุรกิจของสหกรณ์การเกษตรในเขตปฏิรูปที่ดิน โดย ส.ป.ก. จังหวัด</t>
  </si>
  <si>
    <t xml:space="preserve"> - หลักสูตร การพัฒนาช่องทางด้านการตลาดสินค้าเกษตรออนไลน์ โดย สพท.</t>
  </si>
  <si>
    <t>โครงการตรวจสอบที่ดินในเขตปฏิรูปที่ดิน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</si>
  <si>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</si>
  <si>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</si>
  <si>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1.1'ใช้ประโยชน์ด้วยตนเอง</t>
  </si>
  <si>
    <t>1.2 ไม่ใช้ประโยชน์ในที่ดิน (รวมไม่ทราบข้อมูล)</t>
  </si>
  <si>
    <t>1.3'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</si>
  <si>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</si>
  <si>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</si>
  <si>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</si>
  <si>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</si>
  <si>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</si>
  <si>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'ใช้ประโยชน์ด้วยตนเอง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</si>
  <si>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</si>
  <si>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</si>
  <si>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 xml:space="preserve"> - เสียชีวิต ทายาททำประโยชน์</t>
  </si>
  <si>
    <t xml:space="preserve"> - เสียชีวิต บุคคลอื่นทำประโยชน์</t>
  </si>
  <si>
    <t>3.4 ไม่มาให้ข้อเท็จจริง</t>
  </si>
  <si>
    <t>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</si>
  <si>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</si>
  <si>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</si>
  <si>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</si>
  <si>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</si>
  <si>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</si>
  <si>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</si>
  <si>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</si>
  <si>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</si>
  <si>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</si>
  <si>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 xml:space="preserve">  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</si>
  <si>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</si>
  <si>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ติดตามการใช้ประโยชน์ที่ดินรายแปลงในเขตปฏิรูปที่ดิน  </t>
  </si>
  <si>
    <t>ด้วยภาพถ่ายทางอากาศและ/หรือภาพดาวเทียมรายละเอียดสูง</t>
  </si>
  <si>
    <t>- ใช้ที่ดินตามวัตถุประสงค์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</si>
  <si>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</si>
  <si>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</si>
  <si>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ติดตามการใช้ประโยชน์ที่ดินรายแปลงในเขตปฏิรูปที่ดิน </t>
  </si>
  <si>
    <t xml:space="preserve">  แปลงที่ใช้ที่ดินผิดวัตถุประสงค์ จากการตรวจพบของ สผส.</t>
  </si>
  <si>
    <t>- อื่น ๆ</t>
  </si>
  <si>
    <t>โครงการพัฒนาผู้แทนเกษตรกร</t>
  </si>
  <si>
    <t xml:space="preserve"> - อบรม หลักสูตรสำหรับการพัฒนาผู้แทนเกษตรกรในระดับพื้นที่ โดย : ส.ป.ก.จังหวัด </t>
  </si>
  <si>
    <t xml:space="preserve"> - อบรม หลักสูตรสำหรับการพัฒนาภาวะผู้นำแก่ผู้นำเกษตรกร โดย สพท. </t>
  </si>
  <si>
    <t>โครงการสำรวจรังวัดการปรับปรุงแผนที่แปลงที่ดินตามมาตรฐาน RTK GNSS NETWORK ในเขตปฏิรูปที่ดิน</t>
  </si>
  <si>
    <t>ดำเนินการโดย ส.ป.ก. จังหวัด (ข้อมูลจาก สผส.)</t>
  </si>
  <si>
    <t>ดำเนินการโดย สผส.</t>
  </si>
  <si>
    <t>โครงการศูนย์บริการประชาชนในเขตปฏิรูปที่ดินเพื่อเกษตรกรรม*</t>
  </si>
  <si>
    <t>รวม แผนงานบริการประชาชน/เกษตรกรในเขตปฏิรูปที่ดิน</t>
  </si>
  <si>
    <t>1. ศูนย์บริการประชาชนเคลื่อนที่</t>
  </si>
  <si>
    <t xml:space="preserve">    - จำนวนครั้งที่ออกให้บริการ</t>
  </si>
  <si>
    <t xml:space="preserve">    - จำนวนผู้มารับบริการ</t>
  </si>
  <si>
    <t>2.  จำนวนผู้มารับบริการศูนย์บริการประชาชน (Service Center)</t>
  </si>
  <si>
    <t>3. จำนวนผู้รับบริการจากระบบออนไลน์</t>
  </si>
  <si>
    <t>4.  จำนวนผู้รับบริการจากการออกรับบริการร่วมกับหน่วยงานภายนอกอื่น ๆ</t>
  </si>
  <si>
    <t>โครงการจัดที่ดินชุมชนแปลงที่อยู่อาศัยของเกษตรกรในเขตปฏิรูปที่ดิน (ข้อมูลจาก ALRO Land Online)</t>
  </si>
  <si>
    <t>- สำรวจรังวัด</t>
  </si>
  <si>
    <t>โครงการจัดหาที่ดินเอกชนเพื่อนำมาดำเนินการปฎิรูปที่ดินเพื่อเกษตรกรรม</t>
  </si>
  <si>
    <t>1. การจัดหาที่ดินเพื่อการจัดซื้อที่ดินเอกชน ปี 2565</t>
  </si>
  <si>
    <t xml:space="preserve"> - รับคำเสนอขาย</t>
  </si>
  <si>
    <t xml:space="preserve"> - ตรวจสอบความถูกต้องหนังสือแสดงสิทธิในที่ดินที่ สนง.ที่ดิน หรือ สนง.สาขา</t>
  </si>
  <si>
    <t xml:space="preserve"> - ตรวจสอบสภาพพื้นที่ แปลงที่ดิน การทำประโยชน์</t>
  </si>
  <si>
    <t xml:space="preserve"> - ต่อรองราคาที่ดิน</t>
  </si>
  <si>
    <t xml:space="preserve"> - คณะอนุกรรมการจัดซื้อที่ดินพิจารณาความเหมาะสมของที่ดิน</t>
  </si>
  <si>
    <t xml:space="preserve"> - นำเสนอ คปจ.</t>
  </si>
  <si>
    <t xml:space="preserve">           - อำนาจ คปจ. เห็นชอบและอนุมัติ กรณีราคาไม่เกิน 1.5 เท่า</t>
  </si>
  <si>
    <t xml:space="preserve">           - อำนาจ คปจ. เห็นชอบ กรณีราคาเกิน 1.5 เท่า</t>
  </si>
  <si>
    <t xml:space="preserve"> 2. จัดซื้อที่ดินงานต่อเนื่อง (ระหว่างปี พ.ศ. 2560 - 2564)</t>
  </si>
  <si>
    <t xml:space="preserve"> - ประกาศเขตปฏิรูปที่ดินแล้ว</t>
  </si>
  <si>
    <t xml:space="preserve">           - รังวัดสอบเขต</t>
  </si>
  <si>
    <t xml:space="preserve">           - จดทะเบียนสิทธิและนิติกรรม และชำระมูลค่าที่ดิน</t>
  </si>
  <si>
    <t>การดำเนินงานกองทุนการปฏิรูปที่ดินเพื่อเกษตรกรรม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</si>
  <si>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</si>
  <si>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</si>
  <si>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</si>
  <si>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</si>
  <si>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โครงการบริหารจัดการที่ดินเอกชน (7 กิจกรรม)</t>
  </si>
  <si>
    <t>1) ฝึกอบรม</t>
  </si>
  <si>
    <t>2) วัสดุการเกษตร</t>
  </si>
  <si>
    <t>3) จ้างเหมาบริการ</t>
  </si>
  <si>
    <t>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</si>
  <si>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>ขั้นตอนการดำเนินงาน (ระบุ 1 ในช่อง 1 2 หรือ 3 เพียงข้อเดียว เท่านั้น)</t>
  </si>
  <si>
    <t>อยู่ระหว่างดำเนินการ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</si>
  <si>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</si>
  <si>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</si>
  <si>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ปรับปรุงสิทธิการเช่าไปสู่การเช่าซื้อ (รวมถึงเช่าซื้อไปสู่เช่า) *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</si>
  <si>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</si>
  <si>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</si>
  <si>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</si>
  <si>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 xml:space="preserve">        - อยู่ระหว่างยื่นดำเนินการ</t>
  </si>
  <si>
    <t xml:space="preserve">        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</si>
  <si>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</si>
  <si>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</si>
  <si>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</si>
  <si>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</si>
  <si>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</si>
  <si>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</si>
  <si>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</si>
  <si>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1,2,3,5,6 ข้อมูลจาก ALRO Land Online</t>
  </si>
  <si>
    <t>สำนักงานการปฏิรูปที่ดินจังหวัด กระบี่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</si>
  <si>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</si>
  <si>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ชุมพร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</si>
  <si>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</si>
  <si>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ตรัง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</si>
  <si>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</si>
  <si>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นครศรีธรรมราช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</si>
  <si>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</si>
  <si>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นราธิวาส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</si>
  <si>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</si>
  <si>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 xml:space="preserve"> - ส.ป.ก.จังหวัด  (งบดำเนินงาน 76,000 งบลงทุน 904,000)</t>
  </si>
  <si>
    <t>สำนักงานการปฏิรูปที่ดินจังหวัด ปัตตานี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</si>
  <si>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</si>
  <si>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พังงา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</si>
  <si>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</si>
  <si>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พัทลุง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</si>
  <si>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</si>
  <si>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 xml:space="preserve"> - ส.ป.ก.จังหวัด  (งบดำเนินงาน 110,900 งบลงทุน 103,000)</t>
  </si>
  <si>
    <t>สำนักงานการปฏิรูปที่ดินจังหวัด ภูเก็ต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</si>
  <si>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</si>
  <si>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ยะลา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</si>
  <si>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</si>
  <si>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ระนอง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</si>
  <si>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</si>
  <si>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สงขลา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</si>
  <si>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</si>
  <si>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สตูล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</si>
  <si>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</si>
  <si>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สุราษฎร์ธานี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</si>
  <si>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</si>
  <si>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ข้อมูล ณ วันที่ 31 สิงหาคม 2565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</si>
</sst>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????_-;_-@"/>
  </numFmts>
  <fonts count="27" x14ac:knownFonts="1">
    <font>
      <sz val="11"/>
      <color theme="1"/>
      <name val="Calibri"/>
      <scheme val="minor"/>
    </font>
    <font>
      <b/>
      <sz val="15"/>
      <color theme="1"/>
      <name val="Calibri"/>
      <scheme val="minor"/>
    </font>
    <font>
      <sz val="15"/>
      <color theme="1"/>
      <name val="Calibri"/>
      <scheme val="minor"/>
    </font>
    <font>
      <b/>
      <sz val="15"/>
      <color theme="0"/>
      <name val="Calibri"/>
      <scheme val="minor"/>
    </font>
    <font>
      <sz val="11"/>
      <name val="Calibri"/>
    </font>
    <font>
      <b/>
      <sz val="15"/>
      <color rgb="FF000000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sz val="15"/>
      <color rgb="FF000000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sz val="15"/>
      <color rgb="FFFF0000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sz val="15"/>
      <color theme="0"/>
      <name val="Calibri"/>
      <scheme val="minor"/>
    </font>
    <font>
      <sz val="11"/>
      <color theme="1"/>
      <name val="Calibri"/>
    </font>
    <font>
      <b/>
      <sz val="15"/>
      <color theme="1"/>
      <name val="Calibri"/>
    </font>
    <font>
      <b/>
      <u/>
      <sz val="15"/>
      <color theme="1"/>
      <name val="Calibri"/>
    </font>
    <font>
      <sz val="15"/>
      <color theme="1"/>
      <name val="Calibri"/>
    </font>
    <font>
      <b/>
      <u/>
      <sz val="15"/>
      <color theme="1"/>
      <name val="Calibri"/>
    </font>
    <font>
      <i/>
      <sz val="15"/>
      <color rgb="FF999999"/>
      <name val="Calibri"/>
    </font>
    <font>
      <b/>
      <u/>
      <sz val="15"/>
      <color rgb="FFCC4125"/>
      <name val="Calibri"/>
    </font>
  </fonts>
  <fills count="33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FFFFFF"/>
        <bgColor rgb="FFFF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9B9B"/>
        <bgColor rgb="FFFF9B9B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00FFFF"/>
        <bgColor rgb="FF00FFFF"/>
      </patternFill>
    </fill>
  </fills>
  <borders count="53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hair">
        <color rgb="FF000000"/>
      </bottom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/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</borders>
  <cellStyleXfs count="1">
    <xf numFmtId="0" fontId="0" fillId="0" borderId="0"/>
  </cellStyleXfs>
  <cellXfs count="605">
    <xf numFmtId="0" fontId="0" fillId="0" borderId="0" xfId="0" applyFont="1" applyAlignment="1"/>
    <xf numFmtId="0" fontId="1" fillId="2" borderId="0" xfId="0" applyFont="1" applyFill="1" applyAlignment="1">
      <alignment horizontal="center" vertical="center"/>
    </xf>
    <xf numFmtId="187" fontId="2" fillId="2" borderId="0" xfId="0" applyNumberFormat="1" applyFont="1" applyFill="1" applyAlignment="1">
      <alignment horizontal="center" vertical="center" wrapText="1"/>
    </xf>
    <xf numFmtId="188" fontId="2" fillId="2" borderId="0" xfId="0" applyNumberFormat="1" applyFont="1" applyFill="1" applyAlignment="1">
      <alignment vertical="center" wrapText="1"/>
    </xf>
    <xf numFmtId="187" fontId="2" fillId="2" borderId="0" xfId="0" applyNumberFormat="1" applyFont="1" applyFill="1" applyAlignment="1">
      <alignment vertical="center" wrapText="1"/>
    </xf>
    <xf numFmtId="188" fontId="1" fillId="4" borderId="12" xfId="0" applyNumberFormat="1" applyFont="1" applyFill="1" applyBorder="1" applyAlignment="1">
      <alignment horizontal="center" vertical="center"/>
    </xf>
    <xf numFmtId="187" fontId="1" fillId="4" borderId="12" xfId="0" applyNumberFormat="1" applyFont="1" applyFill="1" applyBorder="1" applyAlignment="1">
      <alignment horizontal="center" vertical="center" wrapText="1"/>
    </xf>
    <xf numFmtId="188" fontId="1" fillId="5" borderId="12" xfId="0" applyNumberFormat="1" applyFont="1" applyFill="1" applyBorder="1" applyAlignment="1">
      <alignment horizontal="center" vertical="center" wrapText="1"/>
    </xf>
    <xf numFmtId="188" fontId="1" fillId="7" borderId="12" xfId="0" applyNumberFormat="1" applyFont="1" applyFill="1" applyBorder="1" applyAlignment="1">
      <alignment horizontal="center" vertical="center" wrapText="1"/>
    </xf>
    <xf numFmtId="188" fontId="1" fillId="6" borderId="12" xfId="0" applyNumberFormat="1" applyFont="1" applyFill="1" applyBorder="1" applyAlignment="1">
      <alignment horizontal="center" vertical="center"/>
    </xf>
    <xf numFmtId="188" fontId="1" fillId="5" borderId="12" xfId="0" applyNumberFormat="1" applyFont="1" applyFill="1" applyBorder="1" applyAlignment="1">
      <alignment horizontal="center" vertical="center"/>
    </xf>
    <xf numFmtId="188" fontId="1" fillId="7" borderId="12" xfId="0" applyNumberFormat="1" applyFont="1" applyFill="1" applyBorder="1" applyAlignment="1">
      <alignment horizontal="center" vertical="center"/>
    </xf>
    <xf numFmtId="0" fontId="5" fillId="8" borderId="12" xfId="0" applyFont="1" applyFill="1" applyBorder="1" applyAlignment="1"/>
    <xf numFmtId="189" fontId="5" fillId="8" borderId="12" xfId="0" applyNumberFormat="1" applyFont="1" applyFill="1" applyBorder="1" applyAlignment="1"/>
    <xf numFmtId="188" fontId="5" fillId="8" borderId="12" xfId="0" applyNumberFormat="1" applyFont="1" applyFill="1" applyBorder="1" applyAlignment="1"/>
    <xf numFmtId="188" fontId="5" fillId="8" borderId="12" xfId="0" applyNumberFormat="1" applyFont="1" applyFill="1" applyBorder="1" applyAlignment="1">
      <alignment horizontal="center"/>
    </xf>
    <xf numFmtId="188" fontId="5" fillId="8" borderId="12" xfId="0" applyNumberFormat="1" applyFont="1" applyFill="1" applyBorder="1" applyAlignment="1">
      <alignment horizontal="right"/>
    </xf>
    <xf numFmtId="0" fontId="1" fillId="9" borderId="13" xfId="0" applyFont="1" applyFill="1" applyBorder="1" applyAlignment="1"/>
    <xf numFmtId="0" fontId="1" fillId="9" borderId="14" xfId="0" applyFont="1" applyFill="1" applyBorder="1" applyAlignment="1"/>
    <xf numFmtId="0" fontId="1" fillId="9" borderId="14" xfId="0" applyFont="1" applyFill="1" applyBorder="1" applyAlignment="1">
      <alignment horizontal="left"/>
    </xf>
    <xf numFmtId="0" fontId="1" fillId="9" borderId="15" xfId="0" applyFont="1" applyFill="1" applyBorder="1" applyAlignment="1">
      <alignment horizontal="center"/>
    </xf>
    <xf numFmtId="189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/>
    <xf numFmtId="0" fontId="1" fillId="9" borderId="17" xfId="0" applyFont="1" applyFill="1" applyBorder="1" applyAlignment="1"/>
    <xf numFmtId="0" fontId="1" fillId="9" borderId="18" xfId="0" applyFont="1" applyFill="1" applyBorder="1" applyAlignment="1"/>
    <xf numFmtId="0" fontId="1" fillId="9" borderId="18" xfId="0" applyFont="1" applyFill="1" applyBorder="1" applyAlignment="1">
      <alignment horizontal="left"/>
    </xf>
    <xf numFmtId="0" fontId="1" fillId="9" borderId="19" xfId="0" applyFont="1" applyFill="1" applyBorder="1" applyAlignment="1">
      <alignment horizontal="center"/>
    </xf>
    <xf numFmtId="189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/>
    <xf numFmtId="0" fontId="1" fillId="2" borderId="17" xfId="0" applyFont="1" applyFill="1" applyBorder="1" applyAlignment="1"/>
    <xf numFmtId="0" fontId="1" fillId="2" borderId="18" xfId="0" applyFont="1" applyFill="1" applyBorder="1" applyAlignment="1"/>
    <xf numFmtId="0" fontId="1" fillId="2" borderId="18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center"/>
    </xf>
    <xf numFmtId="189" fontId="2" fillId="2" borderId="20" xfId="0" applyNumberFormat="1" applyFont="1" applyFill="1" applyBorder="1" applyAlignment="1">
      <alignment horizontal="right"/>
    </xf>
    <xf numFmtId="188" fontId="2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>
      <alignment horizontal="left"/>
    </xf>
    <xf numFmtId="0" fontId="2" fillId="2" borderId="18" xfId="0" applyFont="1" applyFill="1" applyBorder="1" applyAlignment="1"/>
    <xf numFmtId="0" fontId="2" fillId="2" borderId="18" xfId="0" applyFont="1" applyFill="1" applyBorder="1" applyAlignment="1">
      <alignment horizontal="left"/>
    </xf>
    <xf numFmtId="188" fontId="2" fillId="2" borderId="20" xfId="0" applyNumberFormat="1" applyFont="1" applyFill="1" applyBorder="1" applyAlignment="1">
      <alignment horizontal="left"/>
    </xf>
    <xf numFmtId="188" fontId="2" fillId="2" borderId="20" xfId="0" applyNumberFormat="1" applyFont="1" applyFill="1" applyBorder="1" applyAlignment="1"/>
    <xf numFmtId="0" fontId="1" fillId="2" borderId="21" xfId="0" applyFont="1" applyFill="1" applyBorder="1" applyAlignment="1"/>
    <xf numFmtId="0" fontId="1" fillId="2" borderId="22" xfId="0" applyFont="1" applyFill="1" applyBorder="1" applyAlignment="1"/>
    <xf numFmtId="0" fontId="2" fillId="2" borderId="22" xfId="0" applyFont="1" applyFill="1" applyBorder="1" applyAlignment="1"/>
    <xf numFmtId="0" fontId="2" fillId="2" borderId="23" xfId="0" applyFont="1" applyFill="1" applyBorder="1" applyAlignment="1">
      <alignment horizontal="left"/>
    </xf>
    <xf numFmtId="0" fontId="2" fillId="2" borderId="23" xfId="0" applyFont="1" applyFill="1" applyBorder="1" applyAlignment="1">
      <alignment horizontal="center"/>
    </xf>
    <xf numFmtId="189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/>
    <xf numFmtId="188" fontId="2" fillId="2" borderId="20" xfId="0" applyNumberFormat="1" applyFont="1" applyFill="1" applyBorder="1" applyAlignment="1"/>
    <xf numFmtId="188" fontId="2" fillId="2" borderId="23" xfId="0" applyNumberFormat="1" applyFont="1" applyFill="1" applyBorder="1" applyAlignment="1"/>
    <xf numFmtId="0" fontId="1" fillId="10" borderId="12" xfId="0" applyFont="1" applyFill="1" applyBorder="1" applyAlignment="1">
      <alignment vertical="center"/>
    </xf>
    <xf numFmtId="189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horizontal="right" vertical="center" wrapText="1"/>
    </xf>
    <xf numFmtId="0" fontId="8" fillId="11" borderId="12" xfId="0" applyFont="1" applyFill="1" applyBorder="1" applyAlignment="1">
      <alignment horizontal="left"/>
    </xf>
    <xf numFmtId="189" fontId="8" fillId="11" borderId="12" xfId="0" applyNumberFormat="1" applyFont="1" applyFill="1" applyBorder="1" applyAlignment="1">
      <alignment horizontal="left"/>
    </xf>
    <xf numFmtId="188" fontId="8" fillId="11" borderId="12" xfId="0" applyNumberFormat="1" applyFont="1" applyFill="1" applyBorder="1" applyAlignment="1">
      <alignment horizontal="left"/>
    </xf>
    <xf numFmtId="188" fontId="8" fillId="11" borderId="12" xfId="0" applyNumberFormat="1" applyFont="1" applyFill="1" applyBorder="1" applyAlignment="1"/>
    <xf numFmtId="0" fontId="5" fillId="12" borderId="13" xfId="0" applyFont="1" applyFill="1" applyBorder="1" applyAlignment="1"/>
    <xf numFmtId="0" fontId="5" fillId="12" borderId="15" xfId="0" applyFont="1" applyFill="1" applyBorder="1" applyAlignment="1">
      <alignment horizontal="center"/>
    </xf>
    <xf numFmtId="189" fontId="5" fillId="12" borderId="16" xfId="0" applyNumberFormat="1" applyFont="1" applyFill="1" applyBorder="1" applyAlignment="1">
      <alignment horizontal="right"/>
    </xf>
    <xf numFmtId="188" fontId="5" fillId="12" borderId="16" xfId="0" applyNumberFormat="1" applyFont="1" applyFill="1" applyBorder="1" applyAlignment="1">
      <alignment horizontal="right"/>
    </xf>
    <xf numFmtId="188" fontId="5" fillId="12" borderId="16" xfId="0" applyNumberFormat="1" applyFont="1" applyFill="1" applyBorder="1" applyAlignment="1"/>
    <xf numFmtId="0" fontId="5" fillId="13" borderId="17" xfId="0" applyFont="1" applyFill="1" applyBorder="1" applyAlignment="1"/>
    <xf numFmtId="0" fontId="5" fillId="13" borderId="18" xfId="0" applyFont="1" applyFill="1" applyBorder="1" applyAlignment="1">
      <alignment horizontal="left"/>
    </xf>
    <xf numFmtId="0" fontId="5" fillId="13" borderId="18" xfId="0" applyFont="1" applyFill="1" applyBorder="1" applyAlignment="1"/>
    <xf numFmtId="0" fontId="5" fillId="13" borderId="19" xfId="0" applyFont="1" applyFill="1" applyBorder="1" applyAlignment="1">
      <alignment horizontal="center"/>
    </xf>
    <xf numFmtId="189" fontId="5" fillId="13" borderId="20" xfId="0" applyNumberFormat="1" applyFont="1" applyFill="1" applyBorder="1" applyAlignment="1">
      <alignment horizontal="right"/>
    </xf>
    <xf numFmtId="188" fontId="5" fillId="13" borderId="20" xfId="0" applyNumberFormat="1" applyFont="1" applyFill="1" applyBorder="1" applyAlignment="1">
      <alignment horizontal="right"/>
    </xf>
    <xf numFmtId="188" fontId="5" fillId="13" borderId="20" xfId="0" applyNumberFormat="1" applyFont="1" applyFill="1" applyBorder="1" applyAlignment="1"/>
    <xf numFmtId="0" fontId="1" fillId="14" borderId="17" xfId="0" applyFont="1" applyFill="1" applyBorder="1" applyAlignment="1"/>
    <xf numFmtId="0" fontId="1" fillId="14" borderId="18" xfId="0" applyFont="1" applyFill="1" applyBorder="1" applyAlignment="1"/>
    <xf numFmtId="0" fontId="1" fillId="14" borderId="18" xfId="0" applyFont="1" applyFill="1" applyBorder="1" applyAlignment="1">
      <alignment horizontal="left"/>
    </xf>
    <xf numFmtId="0" fontId="1" fillId="14" borderId="19" xfId="0" applyFont="1" applyFill="1" applyBorder="1" applyAlignment="1">
      <alignment horizontal="center"/>
    </xf>
    <xf numFmtId="189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/>
    <xf numFmtId="0" fontId="1" fillId="15" borderId="17" xfId="0" applyFont="1" applyFill="1" applyBorder="1" applyAlignment="1"/>
    <xf numFmtId="0" fontId="1" fillId="15" borderId="18" xfId="0" applyFont="1" applyFill="1" applyBorder="1" applyAlignment="1"/>
    <xf numFmtId="0" fontId="1" fillId="15" borderId="18" xfId="0" applyFont="1" applyFill="1" applyBorder="1" applyAlignment="1">
      <alignment horizontal="left"/>
    </xf>
    <xf numFmtId="0" fontId="2" fillId="15" borderId="20" xfId="0" applyFont="1" applyFill="1" applyBorder="1" applyAlignment="1">
      <alignment horizontal="left"/>
    </xf>
    <xf numFmtId="0" fontId="2" fillId="0" borderId="20" xfId="0" applyFont="1" applyBorder="1" applyAlignment="1">
      <alignment horizontal="center"/>
    </xf>
    <xf numFmtId="189" fontId="2" fillId="0" borderId="20" xfId="0" applyNumberFormat="1" applyFont="1" applyBorder="1" applyAlignment="1">
      <alignment horizontal="right"/>
    </xf>
    <xf numFmtId="188" fontId="2" fillId="0" borderId="20" xfId="0" applyNumberFormat="1" applyFont="1" applyBorder="1" applyAlignment="1">
      <alignment horizontal="right"/>
    </xf>
    <xf numFmtId="188" fontId="1" fillId="15" borderId="20" xfId="0" applyNumberFormat="1" applyFont="1" applyFill="1" applyBorder="1" applyAlignment="1"/>
    <xf numFmtId="188" fontId="1" fillId="15" borderId="20" xfId="0" applyNumberFormat="1" applyFont="1" applyFill="1" applyBorder="1" applyAlignment="1">
      <alignment horizontal="left"/>
    </xf>
    <xf numFmtId="0" fontId="2" fillId="15" borderId="18" xfId="0" applyFont="1" applyFill="1" applyBorder="1" applyAlignment="1"/>
    <xf numFmtId="0" fontId="2" fillId="15" borderId="18" xfId="0" applyFont="1" applyFill="1" applyBorder="1" applyAlignment="1">
      <alignment horizontal="left"/>
    </xf>
    <xf numFmtId="188" fontId="11" fillId="10" borderId="23" xfId="0" applyNumberFormat="1" applyFont="1" applyFill="1" applyBorder="1" applyAlignment="1"/>
    <xf numFmtId="188" fontId="2" fillId="15" borderId="20" xfId="0" applyNumberFormat="1" applyFont="1" applyFill="1" applyBorder="1" applyAlignment="1">
      <alignment horizontal="left"/>
    </xf>
    <xf numFmtId="188" fontId="2" fillId="15" borderId="20" xfId="0" applyNumberFormat="1" applyFont="1" applyFill="1" applyBorder="1" applyAlignment="1"/>
    <xf numFmtId="0" fontId="1" fillId="15" borderId="21" xfId="0" applyFont="1" applyFill="1" applyBorder="1" applyAlignment="1"/>
    <xf numFmtId="0" fontId="1" fillId="15" borderId="22" xfId="0" applyFont="1" applyFill="1" applyBorder="1" applyAlignment="1"/>
    <xf numFmtId="0" fontId="2" fillId="15" borderId="22" xfId="0" applyFont="1" applyFill="1" applyBorder="1" applyAlignment="1"/>
    <xf numFmtId="0" fontId="2" fillId="15" borderId="23" xfId="0" applyFont="1" applyFill="1" applyBorder="1" applyAlignment="1">
      <alignment horizontal="left"/>
    </xf>
    <xf numFmtId="0" fontId="2" fillId="0" borderId="23" xfId="0" applyFont="1" applyBorder="1" applyAlignment="1">
      <alignment horizontal="center"/>
    </xf>
    <xf numFmtId="189" fontId="2" fillId="0" borderId="23" xfId="0" applyNumberFormat="1" applyFont="1" applyBorder="1" applyAlignment="1">
      <alignment horizontal="right"/>
    </xf>
    <xf numFmtId="188" fontId="2" fillId="0" borderId="23" xfId="0" applyNumberFormat="1" applyFont="1" applyBorder="1" applyAlignment="1">
      <alignment horizontal="right"/>
    </xf>
    <xf numFmtId="188" fontId="2" fillId="15" borderId="23" xfId="0" applyNumberFormat="1" applyFont="1" applyFill="1" applyBorder="1" applyAlignment="1"/>
    <xf numFmtId="0" fontId="1" fillId="16" borderId="12" xfId="0" applyFont="1" applyFill="1" applyBorder="1" applyAlignment="1"/>
    <xf numFmtId="0" fontId="1" fillId="16" borderId="12" xfId="0" applyFont="1" applyFill="1" applyBorder="1" applyAlignment="1">
      <alignment horizontal="left"/>
    </xf>
    <xf numFmtId="0" fontId="1" fillId="16" borderId="12" xfId="0" applyFont="1" applyFill="1" applyBorder="1" applyAlignment="1">
      <alignment horizontal="center"/>
    </xf>
    <xf numFmtId="189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/>
    <xf numFmtId="0" fontId="1" fillId="17" borderId="13" xfId="0" applyFont="1" applyFill="1" applyBorder="1" applyAlignment="1"/>
    <xf numFmtId="0" fontId="1" fillId="17" borderId="14" xfId="0" applyFont="1" applyFill="1" applyBorder="1" applyAlignment="1">
      <alignment horizontal="left"/>
    </xf>
    <xf numFmtId="0" fontId="1" fillId="17" borderId="15" xfId="0" applyFont="1" applyFill="1" applyBorder="1" applyAlignment="1">
      <alignment horizontal="center"/>
    </xf>
    <xf numFmtId="189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/>
    <xf numFmtId="0" fontId="1" fillId="18" borderId="17" xfId="0" applyFont="1" applyFill="1" applyBorder="1" applyAlignment="1"/>
    <xf numFmtId="0" fontId="1" fillId="18" borderId="19" xfId="0" applyFont="1" applyFill="1" applyBorder="1" applyAlignment="1">
      <alignment horizontal="center"/>
    </xf>
    <xf numFmtId="189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/>
    <xf numFmtId="0" fontId="1" fillId="19" borderId="17" xfId="0" applyFont="1" applyFill="1" applyBorder="1" applyAlignment="1"/>
    <xf numFmtId="0" fontId="1" fillId="19" borderId="18" xfId="0" applyFont="1" applyFill="1" applyBorder="1" applyAlignment="1"/>
    <xf numFmtId="0" fontId="1" fillId="19" borderId="18" xfId="0" applyFont="1" applyFill="1" applyBorder="1" applyAlignment="1">
      <alignment horizontal="left"/>
    </xf>
    <xf numFmtId="0" fontId="1" fillId="19" borderId="19" xfId="0" applyFont="1" applyFill="1" applyBorder="1" applyAlignment="1">
      <alignment horizontal="center"/>
    </xf>
    <xf numFmtId="189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/>
    <xf numFmtId="187" fontId="1" fillId="20" borderId="24" xfId="0" applyNumberFormat="1" applyFont="1" applyFill="1" applyBorder="1" applyAlignment="1">
      <alignment vertical="center"/>
    </xf>
    <xf numFmtId="187" fontId="1" fillId="20" borderId="25" xfId="0" applyNumberFormat="1" applyFont="1" applyFill="1" applyBorder="1" applyAlignment="1">
      <alignment vertical="center"/>
    </xf>
    <xf numFmtId="0" fontId="2" fillId="20" borderId="26" xfId="0" applyFont="1" applyFill="1" applyBorder="1" applyAlignment="1">
      <alignment vertical="center"/>
    </xf>
    <xf numFmtId="0" fontId="2" fillId="20" borderId="27" xfId="0" applyFont="1" applyFill="1" applyBorder="1" applyAlignment="1">
      <alignment horizontal="left" vertical="center"/>
    </xf>
    <xf numFmtId="189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vertical="center"/>
    </xf>
    <xf numFmtId="187" fontId="1" fillId="21" borderId="24" xfId="0" applyNumberFormat="1" applyFont="1" applyFill="1" applyBorder="1" applyAlignment="1">
      <alignment vertical="center"/>
    </xf>
    <xf numFmtId="0" fontId="1" fillId="21" borderId="25" xfId="0" applyFont="1" applyFill="1" applyBorder="1" applyAlignment="1">
      <alignment vertical="center"/>
    </xf>
    <xf numFmtId="187" fontId="1" fillId="21" borderId="25" xfId="0" applyNumberFormat="1" applyFont="1" applyFill="1" applyBorder="1" applyAlignment="1">
      <alignment vertical="center"/>
    </xf>
    <xf numFmtId="0" fontId="1" fillId="21" borderId="26" xfId="0" applyFont="1" applyFill="1" applyBorder="1" applyAlignment="1">
      <alignment vertical="center"/>
    </xf>
    <xf numFmtId="0" fontId="1" fillId="21" borderId="28" xfId="0" applyFont="1" applyFill="1" applyBorder="1" applyAlignment="1">
      <alignment horizontal="left" vertical="center"/>
    </xf>
    <xf numFmtId="189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center" vertical="center"/>
    </xf>
    <xf numFmtId="188" fontId="2" fillId="21" borderId="28" xfId="0" applyNumberFormat="1" applyFont="1" applyFill="1" applyBorder="1" applyAlignment="1">
      <alignment vertical="center"/>
    </xf>
    <xf numFmtId="190" fontId="1" fillId="9" borderId="29" xfId="0" applyNumberFormat="1" applyFont="1" applyFill="1" applyBorder="1" applyAlignment="1">
      <alignment vertical="center"/>
    </xf>
    <xf numFmtId="0" fontId="1" fillId="9" borderId="30" xfId="0" applyFont="1" applyFill="1" applyBorder="1" applyAlignment="1">
      <alignment vertical="center"/>
    </xf>
    <xf numFmtId="187" fontId="1" fillId="9" borderId="30" xfId="0" applyNumberFormat="1" applyFont="1" applyFill="1" applyBorder="1" applyAlignment="1">
      <alignment vertical="center"/>
    </xf>
    <xf numFmtId="0" fontId="1" fillId="9" borderId="19" xfId="0" applyFont="1" applyFill="1" applyBorder="1" applyAlignment="1">
      <alignment horizontal="center" vertical="center" wrapText="1"/>
    </xf>
    <xf numFmtId="189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/>
    </xf>
    <xf numFmtId="190" fontId="1" fillId="2" borderId="13" xfId="0" applyNumberFormat="1" applyFont="1" applyFill="1" applyBorder="1" applyAlignment="1"/>
    <xf numFmtId="0" fontId="1" fillId="2" borderId="14" xfId="0" applyFont="1" applyFill="1" applyBorder="1" applyAlignment="1"/>
    <xf numFmtId="0" fontId="1" fillId="2" borderId="14" xfId="0" applyFont="1" applyFill="1" applyBorder="1" applyAlignment="1">
      <alignment horizontal="left"/>
    </xf>
    <xf numFmtId="187" fontId="1" fillId="2" borderId="15" xfId="0" applyNumberFormat="1" applyFont="1" applyFill="1" applyBorder="1" applyAlignment="1">
      <alignment horizontal="center"/>
    </xf>
    <xf numFmtId="189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/>
    <xf numFmtId="190" fontId="1" fillId="2" borderId="17" xfId="0" applyNumberFormat="1" applyFont="1" applyFill="1" applyBorder="1" applyAlignment="1"/>
    <xf numFmtId="187" fontId="1" fillId="2" borderId="19" xfId="0" applyNumberFormat="1" applyFont="1" applyFill="1" applyBorder="1" applyAlignment="1">
      <alignment horizontal="center"/>
    </xf>
    <xf numFmtId="189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/>
    <xf numFmtId="190" fontId="1" fillId="2" borderId="29" xfId="0" applyNumberFormat="1" applyFont="1" applyFill="1" applyBorder="1" applyAlignment="1">
      <alignment vertical="center"/>
    </xf>
    <xf numFmtId="0" fontId="1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7" fontId="2" fillId="0" borderId="19" xfId="0" applyNumberFormat="1" applyFont="1" applyBorder="1" applyAlignment="1">
      <alignment horizontal="center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8" fontId="2" fillId="0" borderId="19" xfId="0" applyNumberFormat="1" applyFont="1" applyBorder="1" applyAlignment="1">
      <alignment horizontal="right" vertical="center" wrapText="1"/>
    </xf>
    <xf numFmtId="188" fontId="1" fillId="2" borderId="19" xfId="0" applyNumberFormat="1" applyFont="1" applyFill="1" applyBorder="1" applyAlignment="1">
      <alignment vertical="center"/>
    </xf>
    <xf numFmtId="188" fontId="1" fillId="2" borderId="19" xfId="0" applyNumberFormat="1" applyFont="1" applyFill="1" applyBorder="1" applyAlignment="1">
      <alignment vertical="center"/>
    </xf>
    <xf numFmtId="187" fontId="1" fillId="2" borderId="30" xfId="0" applyNumberFormat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188" fontId="11" fillId="10" borderId="19" xfId="0" applyNumberFormat="1" applyFont="1" applyFill="1" applyBorder="1" applyAlignment="1">
      <alignment vertical="center"/>
    </xf>
    <xf numFmtId="188" fontId="11" fillId="10" borderId="19" xfId="0" applyNumberFormat="1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90" fontId="1" fillId="15" borderId="17" xfId="0" applyNumberFormat="1" applyFont="1" applyFill="1" applyBorder="1" applyAlignment="1"/>
    <xf numFmtId="187" fontId="2" fillId="0" borderId="20" xfId="0" applyNumberFormat="1" applyFont="1" applyBorder="1" applyAlignment="1">
      <alignment horizontal="center"/>
    </xf>
    <xf numFmtId="190" fontId="1" fillId="15" borderId="21" xfId="0" applyNumberFormat="1" applyFont="1" applyFill="1" applyBorder="1" applyAlignment="1"/>
    <xf numFmtId="187" fontId="1" fillId="15" borderId="22" xfId="0" applyNumberFormat="1" applyFont="1" applyFill="1" applyBorder="1" applyAlignment="1"/>
    <xf numFmtId="187" fontId="2" fillId="0" borderId="23" xfId="0" applyNumberFormat="1" applyFont="1" applyBorder="1" applyAlignment="1">
      <alignment horizontal="center"/>
    </xf>
    <xf numFmtId="187" fontId="1" fillId="0" borderId="17" xfId="0" applyNumberFormat="1" applyFont="1" applyBorder="1" applyAlignment="1">
      <alignment vertical="center"/>
    </xf>
    <xf numFmtId="187" fontId="1" fillId="0" borderId="18" xfId="0" applyNumberFormat="1" applyFont="1" applyBorder="1" applyAlignment="1">
      <alignment vertical="center"/>
    </xf>
    <xf numFmtId="0" fontId="14" fillId="22" borderId="30" xfId="0" quotePrefix="1" applyFont="1" applyFill="1" applyBorder="1" applyAlignment="1">
      <alignment vertical="center"/>
    </xf>
    <xf numFmtId="0" fontId="2" fillId="22" borderId="30" xfId="0" applyFont="1" applyFill="1" applyBorder="1" applyAlignment="1">
      <alignment vertical="center"/>
    </xf>
    <xf numFmtId="0" fontId="2" fillId="22" borderId="31" xfId="0" applyFont="1" applyFill="1" applyBorder="1" applyAlignment="1">
      <alignment vertical="center"/>
    </xf>
    <xf numFmtId="0" fontId="2" fillId="0" borderId="19" xfId="0" applyFont="1" applyBorder="1" applyAlignment="1">
      <alignment horizontal="center" vertical="center" wrapText="1"/>
    </xf>
    <xf numFmtId="188" fontId="2" fillId="0" borderId="19" xfId="0" applyNumberFormat="1" applyFont="1" applyBorder="1" applyAlignment="1">
      <alignment vertical="center"/>
    </xf>
    <xf numFmtId="0" fontId="2" fillId="23" borderId="30" xfId="0" applyFont="1" applyFill="1" applyBorder="1" applyAlignment="1">
      <alignment horizontal="right" vertical="center"/>
    </xf>
    <xf numFmtId="0" fontId="2" fillId="23" borderId="30" xfId="0" quotePrefix="1" applyFont="1" applyFill="1" applyBorder="1" applyAlignment="1">
      <alignment vertical="center"/>
    </xf>
    <xf numFmtId="0" fontId="2" fillId="23" borderId="30" xfId="0" applyFont="1" applyFill="1" applyBorder="1" applyAlignment="1">
      <alignment vertical="center"/>
    </xf>
    <xf numFmtId="0" fontId="2" fillId="23" borderId="31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10" borderId="30" xfId="0" applyFont="1" applyFill="1" applyBorder="1" applyAlignment="1">
      <alignment horizontal="right" vertical="center"/>
    </xf>
    <xf numFmtId="0" fontId="2" fillId="10" borderId="30" xfId="0" quotePrefix="1" applyFont="1" applyFill="1" applyBorder="1" applyAlignment="1">
      <alignment vertical="center"/>
    </xf>
    <xf numFmtId="0" fontId="2" fillId="10" borderId="30" xfId="0" applyFont="1" applyFill="1" applyBorder="1" applyAlignment="1">
      <alignment vertical="center"/>
    </xf>
    <xf numFmtId="0" fontId="2" fillId="10" borderId="31" xfId="0" applyFont="1" applyFill="1" applyBorder="1" applyAlignment="1">
      <alignment vertical="center"/>
    </xf>
    <xf numFmtId="187" fontId="1" fillId="0" borderId="18" xfId="0" applyNumberFormat="1" applyFont="1" applyBorder="1" applyAlignment="1">
      <alignment horizontal="left" vertical="center"/>
    </xf>
    <xf numFmtId="0" fontId="2" fillId="0" borderId="18" xfId="0" quotePrefix="1" applyFont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0" borderId="18" xfId="0" applyFont="1" applyBorder="1" applyAlignment="1">
      <alignment horizontal="right" vertical="center"/>
    </xf>
    <xf numFmtId="0" fontId="1" fillId="0" borderId="19" xfId="0" applyFont="1" applyBorder="1" applyAlignment="1">
      <alignment horizontal="center" vertical="center" wrapText="1"/>
    </xf>
    <xf numFmtId="189" fontId="1" fillId="2" borderId="19" xfId="0" applyNumberFormat="1" applyFont="1" applyFill="1" applyBorder="1" applyAlignment="1">
      <alignment horizontal="right" vertical="center" wrapText="1"/>
    </xf>
    <xf numFmtId="188" fontId="1" fillId="0" borderId="19" xfId="0" applyNumberFormat="1" applyFont="1" applyBorder="1" applyAlignment="1">
      <alignment horizontal="right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0" fontId="2" fillId="0" borderId="18" xfId="0" quotePrefix="1" applyFont="1" applyBorder="1" applyAlignment="1">
      <alignment vertical="center"/>
    </xf>
    <xf numFmtId="0" fontId="2" fillId="7" borderId="30" xfId="0" applyFont="1" applyFill="1" applyBorder="1" applyAlignment="1">
      <alignment horizontal="right" vertical="center"/>
    </xf>
    <xf numFmtId="0" fontId="2" fillId="7" borderId="30" xfId="0" quotePrefix="1" applyFont="1" applyFill="1" applyBorder="1" applyAlignment="1">
      <alignment vertical="center"/>
    </xf>
    <xf numFmtId="0" fontId="2" fillId="7" borderId="30" xfId="0" applyFont="1" applyFill="1" applyBorder="1" applyAlignment="1">
      <alignment vertical="center"/>
    </xf>
    <xf numFmtId="0" fontId="2" fillId="7" borderId="31" xfId="0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187" fontId="1" fillId="21" borderId="29" xfId="0" applyNumberFormat="1" applyFont="1" applyFill="1" applyBorder="1" applyAlignment="1">
      <alignment vertical="center"/>
    </xf>
    <xf numFmtId="0" fontId="1" fillId="21" borderId="30" xfId="0" applyFont="1" applyFill="1" applyBorder="1" applyAlignment="1">
      <alignment vertical="center" wrapText="1"/>
    </xf>
    <xf numFmtId="187" fontId="1" fillId="21" borderId="30" xfId="0" applyNumberFormat="1" applyFont="1" applyFill="1" applyBorder="1" applyAlignment="1">
      <alignment vertical="center" wrapText="1"/>
    </xf>
    <xf numFmtId="0" fontId="2" fillId="21" borderId="30" xfId="0" applyFont="1" applyFill="1" applyBorder="1" applyAlignment="1">
      <alignment vertical="center" wrapText="1"/>
    </xf>
    <xf numFmtId="0" fontId="2" fillId="21" borderId="31" xfId="0" applyFont="1" applyFill="1" applyBorder="1" applyAlignment="1">
      <alignment vertical="center" wrapText="1"/>
    </xf>
    <xf numFmtId="0" fontId="2" fillId="21" borderId="19" xfId="0" applyFont="1" applyFill="1" applyBorder="1" applyAlignment="1">
      <alignment horizontal="center" vertical="center" wrapText="1"/>
    </xf>
    <xf numFmtId="189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vertical="center" wrapText="1"/>
    </xf>
    <xf numFmtId="188" fontId="2" fillId="21" borderId="19" xfId="0" applyNumberFormat="1" applyFont="1" applyFill="1" applyBorder="1" applyAlignment="1">
      <alignment vertical="center"/>
    </xf>
    <xf numFmtId="0" fontId="1" fillId="9" borderId="31" xfId="0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 wrapText="1"/>
    </xf>
    <xf numFmtId="188" fontId="1" fillId="9" borderId="19" xfId="0" applyNumberFormat="1" applyFont="1" applyFill="1" applyBorder="1" applyAlignment="1">
      <alignment vertical="center" wrapText="1"/>
    </xf>
    <xf numFmtId="188" fontId="2" fillId="2" borderId="19" xfId="0" applyNumberFormat="1" applyFont="1" applyFill="1" applyBorder="1" applyAlignment="1">
      <alignment horizontal="right" vertical="center" wrapText="1"/>
    </xf>
    <xf numFmtId="0" fontId="2" fillId="0" borderId="20" xfId="0" quotePrefix="1" applyFont="1" applyBorder="1" applyAlignment="1">
      <alignment vertical="center" wrapText="1"/>
    </xf>
    <xf numFmtId="0" fontId="2" fillId="0" borderId="20" xfId="0" quotePrefix="1" applyFont="1" applyBorder="1" applyAlignment="1">
      <alignment vertical="center"/>
    </xf>
    <xf numFmtId="189" fontId="2" fillId="2" borderId="30" xfId="0" applyNumberFormat="1" applyFont="1" applyFill="1" applyBorder="1" applyAlignment="1">
      <alignment horizontal="right" vertical="center"/>
    </xf>
    <xf numFmtId="0" fontId="1" fillId="21" borderId="30" xfId="0" applyFont="1" applyFill="1" applyBorder="1" applyAlignment="1">
      <alignment vertical="center"/>
    </xf>
    <xf numFmtId="190" fontId="1" fillId="21" borderId="30" xfId="0" applyNumberFormat="1" applyFont="1" applyFill="1" applyBorder="1" applyAlignment="1">
      <alignment vertical="center"/>
    </xf>
    <xf numFmtId="0" fontId="2" fillId="21" borderId="30" xfId="0" applyFont="1" applyFill="1" applyBorder="1" applyAlignment="1">
      <alignment vertical="center"/>
    </xf>
    <xf numFmtId="0" fontId="2" fillId="21" borderId="31" xfId="0" applyFont="1" applyFill="1" applyBorder="1" applyAlignment="1">
      <alignment vertical="center"/>
    </xf>
    <xf numFmtId="190" fontId="1" fillId="9" borderId="30" xfId="0" applyNumberFormat="1" applyFont="1" applyFill="1" applyBorder="1" applyAlignment="1">
      <alignment vertical="center"/>
    </xf>
    <xf numFmtId="0" fontId="15" fillId="22" borderId="30" xfId="0" quotePrefix="1" applyFont="1" applyFill="1" applyBorder="1" applyAlignment="1">
      <alignment vertical="center"/>
    </xf>
    <xf numFmtId="187" fontId="1" fillId="0" borderId="21" xfId="0" applyNumberFormat="1" applyFont="1" applyBorder="1" applyAlignment="1">
      <alignment vertical="center"/>
    </xf>
    <xf numFmtId="187" fontId="1" fillId="0" borderId="22" xfId="0" applyNumberFormat="1" applyFont="1" applyBorder="1" applyAlignment="1">
      <alignment vertical="center"/>
    </xf>
    <xf numFmtId="0" fontId="2" fillId="7" borderId="32" xfId="0" applyFont="1" applyFill="1" applyBorder="1" applyAlignment="1">
      <alignment horizontal="right" vertical="center"/>
    </xf>
    <xf numFmtId="0" fontId="2" fillId="7" borderId="32" xfId="0" quotePrefix="1" applyFont="1" applyFill="1" applyBorder="1" applyAlignment="1">
      <alignment vertical="center"/>
    </xf>
    <xf numFmtId="0" fontId="2" fillId="7" borderId="32" xfId="0" applyFont="1" applyFill="1" applyBorder="1" applyAlignment="1">
      <alignment vertical="center"/>
    </xf>
    <xf numFmtId="0" fontId="2" fillId="7" borderId="33" xfId="0" applyFont="1" applyFill="1" applyBorder="1" applyAlignment="1">
      <alignment vertical="center"/>
    </xf>
    <xf numFmtId="0" fontId="2" fillId="2" borderId="34" xfId="0" applyFont="1" applyFill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right" vertical="center" wrapText="1"/>
    </xf>
    <xf numFmtId="189" fontId="2" fillId="2" borderId="32" xfId="0" applyNumberFormat="1" applyFont="1" applyFill="1" applyBorder="1" applyAlignment="1">
      <alignment horizontal="right" vertical="center"/>
    </xf>
    <xf numFmtId="188" fontId="2" fillId="2" borderId="34" xfId="0" applyNumberFormat="1" applyFont="1" applyFill="1" applyBorder="1" applyAlignment="1">
      <alignment horizontal="right" vertical="center" wrapText="1"/>
    </xf>
    <xf numFmtId="188" fontId="2" fillId="2" borderId="34" xfId="0" applyNumberFormat="1" applyFont="1" applyFill="1" applyBorder="1" applyAlignment="1">
      <alignment vertical="center"/>
    </xf>
    <xf numFmtId="188" fontId="2" fillId="0" borderId="34" xfId="0" applyNumberFormat="1" applyFont="1" applyBorder="1" applyAlignment="1">
      <alignment vertical="center"/>
    </xf>
    <xf numFmtId="187" fontId="1" fillId="7" borderId="35" xfId="0" applyNumberFormat="1" applyFont="1" applyFill="1" applyBorder="1" applyAlignment="1">
      <alignment vertical="center"/>
    </xf>
    <xf numFmtId="187" fontId="1" fillId="7" borderId="36" xfId="0" applyNumberFormat="1" applyFont="1" applyFill="1" applyBorder="1" applyAlignment="1">
      <alignment vertical="center"/>
    </xf>
    <xf numFmtId="0" fontId="2" fillId="7" borderId="36" xfId="0" applyFont="1" applyFill="1" applyBorder="1" applyAlignment="1">
      <alignment vertical="center"/>
    </xf>
    <xf numFmtId="0" fontId="2" fillId="7" borderId="37" xfId="0" applyFont="1" applyFill="1" applyBorder="1" applyAlignment="1">
      <alignment vertical="center"/>
    </xf>
    <xf numFmtId="0" fontId="2" fillId="7" borderId="38" xfId="0" applyFont="1" applyFill="1" applyBorder="1" applyAlignment="1">
      <alignment horizontal="left" vertical="center"/>
    </xf>
    <xf numFmtId="189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vertical="center"/>
    </xf>
    <xf numFmtId="187" fontId="1" fillId="24" borderId="29" xfId="0" applyNumberFormat="1" applyFont="1" applyFill="1" applyBorder="1" applyAlignment="1">
      <alignment vertical="center"/>
    </xf>
    <xf numFmtId="187" fontId="1" fillId="24" borderId="30" xfId="0" applyNumberFormat="1" applyFont="1" applyFill="1" applyBorder="1" applyAlignment="1">
      <alignment vertical="center"/>
    </xf>
    <xf numFmtId="0" fontId="1" fillId="24" borderId="30" xfId="0" applyFont="1" applyFill="1" applyBorder="1" applyAlignment="1">
      <alignment vertical="center"/>
    </xf>
    <xf numFmtId="0" fontId="1" fillId="24" borderId="31" xfId="0" applyFont="1" applyFill="1" applyBorder="1" applyAlignment="1">
      <alignment vertical="center"/>
    </xf>
    <xf numFmtId="0" fontId="1" fillId="24" borderId="19" xfId="0" applyFont="1" applyFill="1" applyBorder="1" applyAlignment="1">
      <alignment horizontal="center" vertical="center"/>
    </xf>
    <xf numFmtId="189" fontId="1" fillId="24" borderId="19" xfId="0" applyNumberFormat="1" applyFont="1" applyFill="1" applyBorder="1" applyAlignment="1">
      <alignment horizontal="center" vertical="center"/>
    </xf>
    <xf numFmtId="188" fontId="1" fillId="24" borderId="19" xfId="0" applyNumberFormat="1" applyFont="1" applyFill="1" applyBorder="1" applyAlignment="1">
      <alignment horizontal="center" vertical="center"/>
    </xf>
    <xf numFmtId="188" fontId="2" fillId="24" borderId="19" xfId="0" applyNumberFormat="1" applyFont="1" applyFill="1" applyBorder="1" applyAlignment="1">
      <alignment horizontal="right" vertical="center" wrapText="1"/>
    </xf>
    <xf numFmtId="187" fontId="1" fillId="22" borderId="29" xfId="0" applyNumberFormat="1" applyFont="1" applyFill="1" applyBorder="1" applyAlignment="1">
      <alignment vertical="center"/>
    </xf>
    <xf numFmtId="0" fontId="1" fillId="22" borderId="30" xfId="0" applyFont="1" applyFill="1" applyBorder="1" applyAlignment="1">
      <alignment vertical="center"/>
    </xf>
    <xf numFmtId="187" fontId="1" fillId="22" borderId="30" xfId="0" applyNumberFormat="1" applyFont="1" applyFill="1" applyBorder="1" applyAlignment="1">
      <alignment vertical="center"/>
    </xf>
    <xf numFmtId="0" fontId="1" fillId="22" borderId="31" xfId="0" applyFont="1" applyFill="1" applyBorder="1" applyAlignment="1">
      <alignment vertical="center"/>
    </xf>
    <xf numFmtId="0" fontId="1" fillId="22" borderId="19" xfId="0" applyFont="1" applyFill="1" applyBorder="1" applyAlignment="1">
      <alignment horizontal="center" vertical="center" wrapText="1"/>
    </xf>
    <xf numFmtId="189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vertical="center"/>
    </xf>
    <xf numFmtId="187" fontId="1" fillId="25" borderId="29" xfId="0" applyNumberFormat="1" applyFont="1" applyFill="1" applyBorder="1" applyAlignment="1">
      <alignment vertical="center"/>
    </xf>
    <xf numFmtId="187" fontId="1" fillId="25" borderId="30" xfId="0" applyNumberFormat="1" applyFont="1" applyFill="1" applyBorder="1" applyAlignment="1">
      <alignment vertical="center"/>
    </xf>
    <xf numFmtId="0" fontId="1" fillId="25" borderId="30" xfId="0" applyFont="1" applyFill="1" applyBorder="1" applyAlignment="1">
      <alignment vertical="center"/>
    </xf>
    <xf numFmtId="0" fontId="1" fillId="25" borderId="31" xfId="0" applyFont="1" applyFill="1" applyBorder="1" applyAlignment="1">
      <alignment vertical="center"/>
    </xf>
    <xf numFmtId="0" fontId="2" fillId="25" borderId="19" xfId="0" applyFont="1" applyFill="1" applyBorder="1" applyAlignment="1">
      <alignment horizontal="center" vertical="center" wrapText="1"/>
    </xf>
    <xf numFmtId="189" fontId="2" fillId="25" borderId="19" xfId="0" applyNumberFormat="1" applyFont="1" applyFill="1" applyBorder="1" applyAlignment="1">
      <alignment horizontal="right" vertical="center" wrapText="1"/>
    </xf>
    <xf numFmtId="188" fontId="2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vertical="center"/>
    </xf>
    <xf numFmtId="0" fontId="16" fillId="2" borderId="30" xfId="0" quotePrefix="1" applyFont="1" applyFill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wrapText="1"/>
    </xf>
    <xf numFmtId="0" fontId="1" fillId="25" borderId="19" xfId="0" applyFont="1" applyFill="1" applyBorder="1" applyAlignment="1">
      <alignment horizontal="center" vertical="center" shrinkToFit="1"/>
    </xf>
    <xf numFmtId="189" fontId="1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horizontal="right" vertical="center" wrapText="1"/>
    </xf>
    <xf numFmtId="0" fontId="1" fillId="25" borderId="19" xfId="0" applyFont="1" applyFill="1" applyBorder="1" applyAlignment="1">
      <alignment horizontal="center" vertical="center" wrapText="1"/>
    </xf>
    <xf numFmtId="189" fontId="2" fillId="4" borderId="32" xfId="0" applyNumberFormat="1" applyFont="1" applyFill="1" applyBorder="1" applyAlignment="1">
      <alignment horizontal="right" vertical="center"/>
    </xf>
    <xf numFmtId="188" fontId="2" fillId="0" borderId="34" xfId="0" applyNumberFormat="1" applyFont="1" applyBorder="1" applyAlignment="1">
      <alignment horizontal="right" vertical="center" wrapText="1"/>
    </xf>
    <xf numFmtId="187" fontId="1" fillId="25" borderId="30" xfId="0" applyNumberFormat="1" applyFont="1" applyFill="1" applyBorder="1" applyAlignment="1">
      <alignment horizontal="left" vertical="center"/>
    </xf>
    <xf numFmtId="188" fontId="1" fillId="2" borderId="19" xfId="0" applyNumberFormat="1" applyFont="1" applyFill="1" applyBorder="1" applyAlignment="1">
      <alignment horizontal="right" vertical="center" wrapText="1"/>
    </xf>
    <xf numFmtId="0" fontId="1" fillId="0" borderId="18" xfId="0" applyFont="1" applyBorder="1" applyAlignment="1">
      <alignment vertical="center"/>
    </xf>
    <xf numFmtId="188" fontId="1" fillId="0" borderId="19" xfId="0" applyNumberFormat="1" applyFont="1" applyBorder="1" applyAlignment="1">
      <alignment vertical="center"/>
    </xf>
    <xf numFmtId="0" fontId="2" fillId="0" borderId="20" xfId="0" quotePrefix="1" applyFont="1" applyBorder="1" applyAlignment="1">
      <alignment vertical="center"/>
    </xf>
    <xf numFmtId="187" fontId="1" fillId="22" borderId="30" xfId="0" applyNumberFormat="1" applyFont="1" applyFill="1" applyBorder="1" applyAlignment="1">
      <alignment horizontal="left" vertical="center"/>
    </xf>
    <xf numFmtId="187" fontId="1" fillId="26" borderId="35" xfId="0" applyNumberFormat="1" applyFont="1" applyFill="1" applyBorder="1" applyAlignment="1">
      <alignment vertical="center"/>
    </xf>
    <xf numFmtId="187" fontId="1" fillId="26" borderId="36" xfId="0" applyNumberFormat="1" applyFont="1" applyFill="1" applyBorder="1" applyAlignment="1">
      <alignment vertical="center"/>
    </xf>
    <xf numFmtId="0" fontId="1" fillId="26" borderId="36" xfId="0" applyFont="1" applyFill="1" applyBorder="1" applyAlignment="1">
      <alignment vertical="center"/>
    </xf>
    <xf numFmtId="0" fontId="1" fillId="26" borderId="37" xfId="0" applyFont="1" applyFill="1" applyBorder="1" applyAlignment="1">
      <alignment vertical="center"/>
    </xf>
    <xf numFmtId="0" fontId="1" fillId="26" borderId="38" xfId="0" applyFont="1" applyFill="1" applyBorder="1" applyAlignment="1">
      <alignment horizontal="left" vertical="center"/>
    </xf>
    <xf numFmtId="189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vertical="center"/>
    </xf>
    <xf numFmtId="188" fontId="2" fillId="26" borderId="38" xfId="0" applyNumberFormat="1" applyFont="1" applyFill="1" applyBorder="1" applyAlignment="1">
      <alignment vertical="center"/>
    </xf>
    <xf numFmtId="187" fontId="1" fillId="27" borderId="29" xfId="0" applyNumberFormat="1" applyFont="1" applyFill="1" applyBorder="1" applyAlignment="1">
      <alignment vertical="center"/>
    </xf>
    <xf numFmtId="187" fontId="1" fillId="27" borderId="30" xfId="0" applyNumberFormat="1" applyFont="1" applyFill="1" applyBorder="1" applyAlignment="1">
      <alignment vertical="center"/>
    </xf>
    <xf numFmtId="0" fontId="1" fillId="27" borderId="30" xfId="0" applyFont="1" applyFill="1" applyBorder="1" applyAlignment="1">
      <alignment vertical="center"/>
    </xf>
    <xf numFmtId="0" fontId="1" fillId="27" borderId="31" xfId="0" applyFont="1" applyFill="1" applyBorder="1" applyAlignment="1">
      <alignment vertical="center"/>
    </xf>
    <xf numFmtId="0" fontId="1" fillId="27" borderId="19" xfId="0" applyFont="1" applyFill="1" applyBorder="1" applyAlignment="1">
      <alignment horizontal="center" vertical="center"/>
    </xf>
    <xf numFmtId="189" fontId="1" fillId="27" borderId="19" xfId="0" applyNumberFormat="1" applyFont="1" applyFill="1" applyBorder="1" applyAlignment="1">
      <alignment vertical="center"/>
    </xf>
    <xf numFmtId="188" fontId="1" fillId="27" borderId="19" xfId="0" applyNumberFormat="1" applyFont="1" applyFill="1" applyBorder="1" applyAlignment="1">
      <alignment vertical="center"/>
    </xf>
    <xf numFmtId="188" fontId="2" fillId="27" borderId="19" xfId="0" applyNumberFormat="1" applyFont="1" applyFill="1" applyBorder="1" applyAlignment="1">
      <alignment horizontal="right" vertical="center" wrapText="1"/>
    </xf>
    <xf numFmtId="187" fontId="1" fillId="28" borderId="29" xfId="0" applyNumberFormat="1" applyFont="1" applyFill="1" applyBorder="1" applyAlignment="1">
      <alignment vertical="center"/>
    </xf>
    <xf numFmtId="0" fontId="1" fillId="28" borderId="30" xfId="0" applyFont="1" applyFill="1" applyBorder="1" applyAlignment="1">
      <alignment vertical="center"/>
    </xf>
    <xf numFmtId="0" fontId="1" fillId="28" borderId="31" xfId="0" applyFont="1" applyFill="1" applyBorder="1" applyAlignment="1">
      <alignment vertical="center"/>
    </xf>
    <xf numFmtId="0" fontId="1" fillId="28" borderId="19" xfId="0" applyFont="1" applyFill="1" applyBorder="1" applyAlignment="1">
      <alignment horizontal="center" vertical="center" wrapText="1"/>
    </xf>
    <xf numFmtId="189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vertical="center"/>
    </xf>
    <xf numFmtId="187" fontId="1" fillId="27" borderId="31" xfId="0" applyNumberFormat="1" applyFont="1" applyFill="1" applyBorder="1" applyAlignment="1">
      <alignment vertical="center"/>
    </xf>
    <xf numFmtId="0" fontId="1" fillId="27" borderId="19" xfId="0" applyFont="1" applyFill="1" applyBorder="1" applyAlignment="1">
      <alignment horizontal="left" vertical="center"/>
    </xf>
    <xf numFmtId="189" fontId="1" fillId="27" borderId="19" xfId="0" applyNumberFormat="1" applyFont="1" applyFill="1" applyBorder="1" applyAlignment="1">
      <alignment horizontal="right" vertical="center"/>
    </xf>
    <xf numFmtId="188" fontId="1" fillId="27" borderId="19" xfId="0" applyNumberFormat="1" applyFont="1" applyFill="1" applyBorder="1" applyAlignment="1">
      <alignment horizontal="right" vertical="center"/>
    </xf>
    <xf numFmtId="190" fontId="1" fillId="28" borderId="29" xfId="0" applyNumberFormat="1" applyFont="1" applyFill="1" applyBorder="1" applyAlignment="1">
      <alignment vertical="center"/>
    </xf>
    <xf numFmtId="190" fontId="1" fillId="28" borderId="30" xfId="0" applyNumberFormat="1" applyFont="1" applyFill="1" applyBorder="1" applyAlignment="1">
      <alignment vertical="center"/>
    </xf>
    <xf numFmtId="187" fontId="1" fillId="28" borderId="30" xfId="0" applyNumberFormat="1" applyFont="1" applyFill="1" applyBorder="1" applyAlignment="1">
      <alignment vertical="center"/>
    </xf>
    <xf numFmtId="189" fontId="2" fillId="2" borderId="31" xfId="0" applyNumberFormat="1" applyFont="1" applyFill="1" applyBorder="1" applyAlignment="1">
      <alignment horizontal="right" vertical="center"/>
    </xf>
    <xf numFmtId="190" fontId="1" fillId="28" borderId="39" xfId="0" applyNumberFormat="1" applyFont="1" applyFill="1" applyBorder="1" applyAlignment="1">
      <alignment vertical="center"/>
    </xf>
    <xf numFmtId="0" fontId="1" fillId="28" borderId="40" xfId="0" applyFont="1" applyFill="1" applyBorder="1" applyAlignment="1">
      <alignment vertical="center"/>
    </xf>
    <xf numFmtId="190" fontId="1" fillId="28" borderId="40" xfId="0" applyNumberFormat="1" applyFont="1" applyFill="1" applyBorder="1" applyAlignment="1">
      <alignment vertical="center"/>
    </xf>
    <xf numFmtId="187" fontId="1" fillId="28" borderId="40" xfId="0" applyNumberFormat="1" applyFont="1" applyFill="1" applyBorder="1" applyAlignment="1">
      <alignment vertical="center"/>
    </xf>
    <xf numFmtId="0" fontId="1" fillId="28" borderId="41" xfId="0" applyFont="1" applyFill="1" applyBorder="1" applyAlignment="1">
      <alignment vertical="center"/>
    </xf>
    <xf numFmtId="0" fontId="1" fillId="28" borderId="42" xfId="0" applyFont="1" applyFill="1" applyBorder="1" applyAlignment="1">
      <alignment horizontal="center" vertical="center" wrapText="1"/>
    </xf>
    <xf numFmtId="189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vertical="center"/>
    </xf>
    <xf numFmtId="189" fontId="2" fillId="0" borderId="15" xfId="0" applyNumberFormat="1" applyFont="1" applyBorder="1" applyAlignment="1">
      <alignment horizontal="right" vertical="center" wrapText="1"/>
    </xf>
    <xf numFmtId="188" fontId="2" fillId="0" borderId="15" xfId="0" applyNumberFormat="1" applyFont="1" applyBorder="1" applyAlignment="1">
      <alignment horizontal="right" vertical="center" wrapText="1"/>
    </xf>
    <xf numFmtId="0" fontId="1" fillId="28" borderId="30" xfId="0" applyFont="1" applyFill="1" applyBorder="1" applyAlignment="1">
      <alignment vertical="center"/>
    </xf>
    <xf numFmtId="189" fontId="1" fillId="28" borderId="19" xfId="0" applyNumberFormat="1" applyFont="1" applyFill="1" applyBorder="1" applyAlignment="1">
      <alignment horizontal="center" vertical="center"/>
    </xf>
    <xf numFmtId="0" fontId="17" fillId="0" borderId="18" xfId="0" applyFont="1" applyBorder="1" applyAlignment="1">
      <alignment vertical="center"/>
    </xf>
    <xf numFmtId="189" fontId="2" fillId="2" borderId="19" xfId="0" applyNumberFormat="1" applyFont="1" applyFill="1" applyBorder="1" applyAlignment="1">
      <alignment horizontal="center" vertical="center"/>
    </xf>
    <xf numFmtId="188" fontId="2" fillId="2" borderId="19" xfId="0" applyNumberFormat="1" applyFont="1" applyFill="1" applyBorder="1" applyAlignment="1">
      <alignment horizontal="center" vertical="center"/>
    </xf>
    <xf numFmtId="188" fontId="2" fillId="0" borderId="19" xfId="0" applyNumberFormat="1" applyFont="1" applyBorder="1" applyAlignment="1">
      <alignment horizontal="left" vertical="center" shrinkToFit="1"/>
    </xf>
    <xf numFmtId="0" fontId="2" fillId="0" borderId="19" xfId="0" applyFont="1" applyBorder="1" applyAlignment="1">
      <alignment horizontal="center" vertical="center" wrapText="1"/>
    </xf>
    <xf numFmtId="189" fontId="2" fillId="2" borderId="19" xfId="0" applyNumberFormat="1" applyFont="1" applyFill="1" applyBorder="1" applyAlignment="1">
      <alignment horizontal="center" vertical="center"/>
    </xf>
    <xf numFmtId="0" fontId="1" fillId="0" borderId="22" xfId="0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0" fontId="2" fillId="0" borderId="23" xfId="0" applyFont="1" applyBorder="1" applyAlignment="1">
      <alignment vertical="center"/>
    </xf>
    <xf numFmtId="0" fontId="2" fillId="0" borderId="34" xfId="0" applyFont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center" vertical="center"/>
    </xf>
    <xf numFmtId="188" fontId="2" fillId="2" borderId="34" xfId="0" applyNumberFormat="1" applyFont="1" applyFill="1" applyBorder="1" applyAlignment="1">
      <alignment horizontal="center" vertical="center"/>
    </xf>
    <xf numFmtId="188" fontId="2" fillId="0" borderId="34" xfId="0" applyNumberFormat="1" applyFont="1" applyBorder="1" applyAlignment="1">
      <alignment horizontal="left" vertical="center" shrinkToFit="1"/>
    </xf>
    <xf numFmtId="0" fontId="1" fillId="29" borderId="35" xfId="0" applyFont="1" applyFill="1" applyBorder="1" applyAlignment="1">
      <alignment vertical="center"/>
    </xf>
    <xf numFmtId="0" fontId="1" fillId="29" borderId="36" xfId="0" applyFont="1" applyFill="1" applyBorder="1" applyAlignment="1">
      <alignment vertical="center"/>
    </xf>
    <xf numFmtId="0" fontId="1" fillId="29" borderId="37" xfId="0" applyFont="1" applyFill="1" applyBorder="1" applyAlignment="1">
      <alignment vertical="center"/>
    </xf>
    <xf numFmtId="0" fontId="1" fillId="29" borderId="38" xfId="0" applyFont="1" applyFill="1" applyBorder="1" applyAlignment="1">
      <alignment vertical="center"/>
    </xf>
    <xf numFmtId="189" fontId="1" fillId="29" borderId="38" xfId="0" applyNumberFormat="1" applyFont="1" applyFill="1" applyBorder="1" applyAlignment="1">
      <alignment vertical="center"/>
    </xf>
    <xf numFmtId="188" fontId="1" fillId="29" borderId="38" xfId="0" applyNumberFormat="1" applyFont="1" applyFill="1" applyBorder="1" applyAlignment="1">
      <alignment vertical="center"/>
    </xf>
    <xf numFmtId="0" fontId="1" fillId="30" borderId="29" xfId="0" applyFont="1" applyFill="1" applyBorder="1" applyAlignment="1">
      <alignment vertical="center"/>
    </xf>
    <xf numFmtId="0" fontId="1" fillId="30" borderId="30" xfId="0" applyFont="1" applyFill="1" applyBorder="1" applyAlignment="1">
      <alignment vertical="center"/>
    </xf>
    <xf numFmtId="0" fontId="1" fillId="30" borderId="31" xfId="0" applyFont="1" applyFill="1" applyBorder="1" applyAlignment="1">
      <alignment vertical="center"/>
    </xf>
    <xf numFmtId="0" fontId="1" fillId="30" borderId="19" xfId="0" applyFont="1" applyFill="1" applyBorder="1" applyAlignment="1">
      <alignment horizontal="left" vertical="center"/>
    </xf>
    <xf numFmtId="189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vertical="center"/>
    </xf>
    <xf numFmtId="0" fontId="1" fillId="31" borderId="29" xfId="0" applyFont="1" applyFill="1" applyBorder="1" applyAlignment="1">
      <alignment vertical="center"/>
    </xf>
    <xf numFmtId="187" fontId="1" fillId="31" borderId="30" xfId="0" applyNumberFormat="1" applyFont="1" applyFill="1" applyBorder="1" applyAlignment="1">
      <alignment vertical="center"/>
    </xf>
    <xf numFmtId="0" fontId="1" fillId="31" borderId="30" xfId="0" applyFont="1" applyFill="1" applyBorder="1" applyAlignment="1">
      <alignment vertical="center"/>
    </xf>
    <xf numFmtId="0" fontId="1" fillId="31" borderId="31" xfId="0" applyFont="1" applyFill="1" applyBorder="1" applyAlignment="1">
      <alignment vertical="center"/>
    </xf>
    <xf numFmtId="0" fontId="1" fillId="31" borderId="19" xfId="0" applyFont="1" applyFill="1" applyBorder="1" applyAlignment="1">
      <alignment horizontal="center" vertical="center"/>
    </xf>
    <xf numFmtId="189" fontId="1" fillId="31" borderId="19" xfId="0" applyNumberFormat="1" applyFont="1" applyFill="1" applyBorder="1" applyAlignment="1">
      <alignment horizontal="center" vertical="center"/>
    </xf>
    <xf numFmtId="188" fontId="1" fillId="31" borderId="19" xfId="0" applyNumberFormat="1" applyFont="1" applyFill="1" applyBorder="1" applyAlignment="1">
      <alignment horizontal="right" vertical="center" wrapText="1"/>
    </xf>
    <xf numFmtId="188" fontId="1" fillId="31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87" fontId="1" fillId="2" borderId="17" xfId="0" applyNumberFormat="1" applyFont="1" applyFill="1" applyBorder="1" applyAlignment="1">
      <alignment vertical="center"/>
    </xf>
    <xf numFmtId="187" fontId="1" fillId="2" borderId="18" xfId="0" applyNumberFormat="1" applyFont="1" applyFill="1" applyBorder="1" applyAlignment="1">
      <alignment vertical="center"/>
    </xf>
    <xf numFmtId="0" fontId="18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8" fontId="2" fillId="6" borderId="19" xfId="0" applyNumberFormat="1" applyFont="1" applyFill="1" applyBorder="1" applyAlignment="1">
      <alignment vertical="center"/>
    </xf>
    <xf numFmtId="0" fontId="2" fillId="2" borderId="20" xfId="0" quotePrefix="1" applyFont="1" applyFill="1" applyBorder="1" applyAlignment="1">
      <alignment vertical="center"/>
    </xf>
    <xf numFmtId="0" fontId="2" fillId="2" borderId="20" xfId="0" applyFont="1" applyFill="1" applyBorder="1" applyAlignment="1">
      <alignment vertical="center"/>
    </xf>
    <xf numFmtId="0" fontId="2" fillId="31" borderId="30" xfId="0" applyFont="1" applyFill="1" applyBorder="1" applyAlignment="1">
      <alignment vertical="center"/>
    </xf>
    <xf numFmtId="0" fontId="2" fillId="31" borderId="31" xfId="0" applyFont="1" applyFill="1" applyBorder="1" applyAlignment="1">
      <alignment vertical="center"/>
    </xf>
    <xf numFmtId="0" fontId="1" fillId="31" borderId="18" xfId="0" applyFont="1" applyFill="1" applyBorder="1" applyAlignment="1">
      <alignment vertical="center"/>
    </xf>
    <xf numFmtId="0" fontId="2" fillId="31" borderId="18" xfId="0" applyFont="1" applyFill="1" applyBorder="1" applyAlignment="1">
      <alignment vertical="center"/>
    </xf>
    <xf numFmtId="0" fontId="2" fillId="31" borderId="20" xfId="0" applyFont="1" applyFill="1" applyBorder="1" applyAlignment="1">
      <alignment vertical="center"/>
    </xf>
    <xf numFmtId="0" fontId="1" fillId="31" borderId="20" xfId="0" applyFont="1" applyFill="1" applyBorder="1" applyAlignment="1">
      <alignment vertical="center"/>
    </xf>
    <xf numFmtId="0" fontId="1" fillId="0" borderId="20" xfId="0" applyFont="1" applyBorder="1" applyAlignment="1">
      <alignment vertical="center"/>
    </xf>
    <xf numFmtId="0" fontId="1" fillId="2" borderId="19" xfId="0" applyFont="1" applyFill="1" applyBorder="1" applyAlignment="1">
      <alignment horizontal="center" vertical="center" wrapText="1"/>
    </xf>
    <xf numFmtId="0" fontId="2" fillId="0" borderId="18" xfId="0" quotePrefix="1" applyFont="1" applyBorder="1" applyAlignment="1">
      <alignment horizontal="left" vertical="center"/>
    </xf>
    <xf numFmtId="189" fontId="1" fillId="2" borderId="19" xfId="0" applyNumberFormat="1" applyFont="1" applyFill="1" applyBorder="1" applyAlignment="1">
      <alignment horizontal="center" vertical="center"/>
    </xf>
    <xf numFmtId="189" fontId="1" fillId="15" borderId="19" xfId="0" applyNumberFormat="1" applyFont="1" applyFill="1" applyBorder="1" applyAlignment="1">
      <alignment horizontal="right" wrapText="1"/>
    </xf>
    <xf numFmtId="189" fontId="1" fillId="4" borderId="19" xfId="0" applyNumberFormat="1" applyFont="1" applyFill="1" applyBorder="1" applyAlignment="1">
      <alignment horizontal="right" wrapText="1"/>
    </xf>
    <xf numFmtId="189" fontId="2" fillId="4" borderId="19" xfId="0" applyNumberFormat="1" applyFont="1" applyFill="1" applyBorder="1" applyAlignment="1">
      <alignment horizontal="right" wrapText="1"/>
    </xf>
    <xf numFmtId="187" fontId="1" fillId="0" borderId="22" xfId="0" applyNumberFormat="1" applyFont="1" applyBorder="1" applyAlignment="1">
      <alignment horizontal="left" vertical="center"/>
    </xf>
    <xf numFmtId="0" fontId="2" fillId="0" borderId="22" xfId="0" applyFont="1" applyBorder="1" applyAlignment="1">
      <alignment horizontal="right" vertical="center"/>
    </xf>
    <xf numFmtId="0" fontId="2" fillId="0" borderId="23" xfId="0" quotePrefix="1" applyFont="1" applyBorder="1" applyAlignment="1">
      <alignment vertical="center"/>
    </xf>
    <xf numFmtId="189" fontId="2" fillId="2" borderId="34" xfId="0" applyNumberFormat="1" applyFont="1" applyFill="1" applyBorder="1" applyAlignment="1">
      <alignment horizontal="center" vertical="center"/>
    </xf>
    <xf numFmtId="0" fontId="2" fillId="0" borderId="18" xfId="0" quotePrefix="1" applyFont="1" applyBorder="1" applyAlignment="1">
      <alignment horizontal="left" vertical="center"/>
    </xf>
    <xf numFmtId="189" fontId="2" fillId="0" borderId="19" xfId="0" applyNumberFormat="1" applyFont="1" applyBorder="1" applyAlignment="1">
      <alignment horizontal="center" vertical="center"/>
    </xf>
    <xf numFmtId="0" fontId="1" fillId="2" borderId="19" xfId="0" applyFont="1" applyFill="1" applyBorder="1" applyAlignment="1">
      <alignment horizontal="center" vertical="center" wrapText="1"/>
    </xf>
    <xf numFmtId="187" fontId="2" fillId="0" borderId="17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horizontal="left" vertical="center"/>
    </xf>
    <xf numFmtId="0" fontId="1" fillId="31" borderId="39" xfId="0" applyFont="1" applyFill="1" applyBorder="1" applyAlignment="1">
      <alignment vertical="center"/>
    </xf>
    <xf numFmtId="187" fontId="1" fillId="31" borderId="40" xfId="0" applyNumberFormat="1" applyFont="1" applyFill="1" applyBorder="1" applyAlignment="1">
      <alignment vertical="center"/>
    </xf>
    <xf numFmtId="0" fontId="1" fillId="31" borderId="40" xfId="0" applyFont="1" applyFill="1" applyBorder="1" applyAlignment="1">
      <alignment vertical="center"/>
    </xf>
    <xf numFmtId="0" fontId="1" fillId="31" borderId="41" xfId="0" applyFont="1" applyFill="1" applyBorder="1" applyAlignment="1">
      <alignment vertical="center"/>
    </xf>
    <xf numFmtId="0" fontId="1" fillId="31" borderId="42" xfId="0" applyFont="1" applyFill="1" applyBorder="1" applyAlignment="1">
      <alignment horizontal="center" vertical="center"/>
    </xf>
    <xf numFmtId="189" fontId="1" fillId="31" borderId="42" xfId="0" applyNumberFormat="1" applyFont="1" applyFill="1" applyBorder="1" applyAlignment="1">
      <alignment horizontal="center" vertical="center"/>
    </xf>
    <xf numFmtId="188" fontId="1" fillId="31" borderId="42" xfId="0" applyNumberFormat="1" applyFont="1" applyFill="1" applyBorder="1" applyAlignment="1">
      <alignment horizontal="right" vertical="center" wrapText="1"/>
    </xf>
    <xf numFmtId="188" fontId="1" fillId="31" borderId="42" xfId="0" applyNumberFormat="1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0" fontId="1" fillId="0" borderId="18" xfId="0" quotePrefix="1" applyFont="1" applyBorder="1" applyAlignment="1">
      <alignment vertical="center"/>
    </xf>
    <xf numFmtId="187" fontId="1" fillId="22" borderId="18" xfId="0" applyNumberFormat="1" applyFont="1" applyFill="1" applyBorder="1" applyAlignment="1">
      <alignment horizontal="left" vertical="center"/>
    </xf>
    <xf numFmtId="0" fontId="1" fillId="22" borderId="18" xfId="0" applyFont="1" applyFill="1" applyBorder="1" applyAlignment="1">
      <alignment vertical="center"/>
    </xf>
    <xf numFmtId="0" fontId="1" fillId="22" borderId="20" xfId="0" applyFont="1" applyFill="1" applyBorder="1" applyAlignment="1">
      <alignment vertical="center"/>
    </xf>
    <xf numFmtId="0" fontId="1" fillId="0" borderId="17" xfId="0" applyFont="1" applyBorder="1" applyAlignment="1">
      <alignment horizontal="center" vertical="center"/>
    </xf>
    <xf numFmtId="189" fontId="1" fillId="0" borderId="19" xfId="0" applyNumberFormat="1" applyFont="1" applyBorder="1" applyAlignment="1">
      <alignment horizontal="right" vertical="center" wrapText="1"/>
    </xf>
    <xf numFmtId="189" fontId="1" fillId="0" borderId="19" xfId="0" applyNumberFormat="1" applyFont="1" applyBorder="1" applyAlignment="1">
      <alignment horizontal="right" vertical="center" wrapText="1"/>
    </xf>
    <xf numFmtId="0" fontId="2" fillId="0" borderId="20" xfId="0" applyFont="1" applyBorder="1" applyAlignment="1">
      <alignment horizontal="left" vertical="center"/>
    </xf>
    <xf numFmtId="0" fontId="2" fillId="0" borderId="17" xfId="0" applyFont="1" applyBorder="1" applyAlignment="1">
      <alignment horizontal="center" vertical="center"/>
    </xf>
    <xf numFmtId="187" fontId="2" fillId="0" borderId="13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horizontal="left" vertical="center"/>
    </xf>
    <xf numFmtId="187" fontId="1" fillId="0" borderId="14" xfId="0" applyNumberFormat="1" applyFont="1" applyBorder="1" applyAlignment="1">
      <alignment horizontal="left" vertical="center"/>
    </xf>
    <xf numFmtId="0" fontId="2" fillId="0" borderId="14" xfId="0" applyFont="1" applyBorder="1" applyAlignment="1">
      <alignment vertical="center"/>
    </xf>
    <xf numFmtId="0" fontId="2" fillId="0" borderId="16" xfId="0" applyFont="1" applyBorder="1" applyAlignment="1">
      <alignment vertical="center"/>
    </xf>
    <xf numFmtId="0" fontId="1" fillId="0" borderId="13" xfId="0" applyFont="1" applyBorder="1" applyAlignment="1">
      <alignment horizontal="center" vertical="center"/>
    </xf>
    <xf numFmtId="188" fontId="2" fillId="0" borderId="15" xfId="0" applyNumberFormat="1" applyFont="1" applyBorder="1" applyAlignment="1">
      <alignment vertical="center"/>
    </xf>
    <xf numFmtId="187" fontId="2" fillId="0" borderId="21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horizontal="left" vertical="center"/>
    </xf>
    <xf numFmtId="0" fontId="2" fillId="0" borderId="21" xfId="0" applyFont="1" applyBorder="1" applyAlignment="1">
      <alignment horizontal="center" vertical="center"/>
    </xf>
    <xf numFmtId="189" fontId="2" fillId="0" borderId="34" xfId="0" applyNumberFormat="1" applyFont="1" applyBorder="1" applyAlignment="1">
      <alignment horizontal="right" vertical="center" wrapText="1"/>
    </xf>
    <xf numFmtId="189" fontId="2" fillId="4" borderId="34" xfId="0" applyNumberFormat="1" applyFont="1" applyFill="1" applyBorder="1" applyAlignment="1">
      <alignment horizontal="right" vertical="center" wrapText="1"/>
    </xf>
    <xf numFmtId="187" fontId="1" fillId="0" borderId="13" xfId="0" applyNumberFormat="1" applyFont="1" applyBorder="1" applyAlignment="1">
      <alignment vertical="center"/>
    </xf>
    <xf numFmtId="187" fontId="1" fillId="0" borderId="14" xfId="0" applyNumberFormat="1" applyFont="1" applyBorder="1" applyAlignment="1">
      <alignment vertical="center"/>
    </xf>
    <xf numFmtId="187" fontId="1" fillId="22" borderId="14" xfId="0" applyNumberFormat="1" applyFont="1" applyFill="1" applyBorder="1" applyAlignment="1">
      <alignment horizontal="left" vertical="center"/>
    </xf>
    <xf numFmtId="0" fontId="1" fillId="22" borderId="14" xfId="0" applyFont="1" applyFill="1" applyBorder="1" applyAlignment="1">
      <alignment vertical="center"/>
    </xf>
    <xf numFmtId="0" fontId="1" fillId="22" borderId="16" xfId="0" applyFont="1" applyFill="1" applyBorder="1" applyAlignment="1">
      <alignment vertical="center"/>
    </xf>
    <xf numFmtId="0" fontId="1" fillId="22" borderId="15" xfId="0" applyFont="1" applyFill="1" applyBorder="1" applyAlignment="1">
      <alignment horizontal="center" vertical="center" wrapText="1"/>
    </xf>
    <xf numFmtId="189" fontId="1" fillId="22" borderId="15" xfId="0" applyNumberFormat="1" applyFont="1" applyFill="1" applyBorder="1" applyAlignment="1">
      <alignment horizontal="right" vertical="center" wrapText="1"/>
    </xf>
    <xf numFmtId="188" fontId="1" fillId="22" borderId="15" xfId="0" applyNumberFormat="1" applyFont="1" applyFill="1" applyBorder="1" applyAlignment="1">
      <alignment horizontal="right" vertical="center" wrapText="1"/>
    </xf>
    <xf numFmtId="188" fontId="1" fillId="0" borderId="15" xfId="0" applyNumberFormat="1" applyFont="1" applyBorder="1" applyAlignment="1">
      <alignment vertical="center"/>
    </xf>
    <xf numFmtId="187" fontId="1" fillId="0" borderId="30" xfId="0" applyNumberFormat="1" applyFont="1" applyBorder="1" applyAlignment="1">
      <alignment horizontal="left" vertical="center"/>
    </xf>
    <xf numFmtId="0" fontId="1" fillId="0" borderId="30" xfId="0" applyFont="1" applyBorder="1" applyAlignment="1">
      <alignment vertical="center"/>
    </xf>
    <xf numFmtId="0" fontId="1" fillId="0" borderId="31" xfId="0" applyFont="1" applyBorder="1" applyAlignment="1">
      <alignment vertical="center"/>
    </xf>
    <xf numFmtId="0" fontId="1" fillId="0" borderId="29" xfId="0" applyFont="1" applyBorder="1" applyAlignment="1">
      <alignment horizontal="center" vertical="center"/>
    </xf>
    <xf numFmtId="187" fontId="2" fillId="0" borderId="18" xfId="0" applyNumberFormat="1" applyFont="1" applyBorder="1" applyAlignment="1">
      <alignment horizontal="left" vertical="center"/>
    </xf>
    <xf numFmtId="0" fontId="2" fillId="22" borderId="18" xfId="0" applyFont="1" applyFill="1" applyBorder="1" applyAlignment="1">
      <alignment vertical="center"/>
    </xf>
    <xf numFmtId="0" fontId="2" fillId="22" borderId="20" xfId="0" applyFont="1" applyFill="1" applyBorder="1" applyAlignment="1">
      <alignment vertical="center"/>
    </xf>
    <xf numFmtId="0" fontId="2" fillId="22" borderId="17" xfId="0" applyFont="1" applyFill="1" applyBorder="1" applyAlignment="1">
      <alignment horizontal="center" vertical="center"/>
    </xf>
    <xf numFmtId="187" fontId="1" fillId="25" borderId="18" xfId="0" applyNumberFormat="1" applyFont="1" applyFill="1" applyBorder="1" applyAlignment="1">
      <alignment horizontal="left" vertical="center"/>
    </xf>
    <xf numFmtId="0" fontId="2" fillId="25" borderId="18" xfId="0" applyFont="1" applyFill="1" applyBorder="1" applyAlignment="1">
      <alignment vertical="center"/>
    </xf>
    <xf numFmtId="0" fontId="2" fillId="25" borderId="20" xfId="0" applyFont="1" applyFill="1" applyBorder="1" applyAlignment="1">
      <alignment vertical="center"/>
    </xf>
    <xf numFmtId="0" fontId="2" fillId="25" borderId="17" xfId="0" applyFont="1" applyFill="1" applyBorder="1" applyAlignment="1">
      <alignment horizontal="center" vertical="center"/>
    </xf>
    <xf numFmtId="0" fontId="2" fillId="0" borderId="20" xfId="0" quotePrefix="1" applyFont="1" applyBorder="1" applyAlignment="1">
      <alignment vertical="center"/>
    </xf>
    <xf numFmtId="187" fontId="1" fillId="0" borderId="43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horizontal="left" vertical="center"/>
    </xf>
    <xf numFmtId="0" fontId="2" fillId="0" borderId="44" xfId="0" applyFont="1" applyBorder="1" applyAlignment="1">
      <alignment vertical="center"/>
    </xf>
    <xf numFmtId="0" fontId="2" fillId="0" borderId="45" xfId="0" applyFont="1" applyBorder="1" applyAlignment="1">
      <alignment vertical="center"/>
    </xf>
    <xf numFmtId="0" fontId="2" fillId="0" borderId="43" xfId="0" applyFont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right" vertical="center" wrapText="1"/>
    </xf>
    <xf numFmtId="189" fontId="2" fillId="4" borderId="46" xfId="0" applyNumberFormat="1" applyFont="1" applyFill="1" applyBorder="1" applyAlignment="1">
      <alignment horizontal="right" vertical="center" wrapText="1"/>
    </xf>
    <xf numFmtId="188" fontId="2" fillId="0" borderId="46" xfId="0" applyNumberFormat="1" applyFont="1" applyBorder="1" applyAlignment="1">
      <alignment horizontal="right" vertical="center" wrapText="1"/>
    </xf>
    <xf numFmtId="188" fontId="2" fillId="0" borderId="46" xfId="0" applyNumberFormat="1" applyFont="1" applyBorder="1" applyAlignment="1">
      <alignment vertical="center"/>
    </xf>
    <xf numFmtId="0" fontId="2" fillId="7" borderId="47" xfId="0" applyFont="1" applyFill="1" applyBorder="1" applyAlignment="1">
      <alignment horizontal="right" vertical="center"/>
    </xf>
    <xf numFmtId="0" fontId="2" fillId="7" borderId="47" xfId="0" quotePrefix="1" applyFont="1" applyFill="1" applyBorder="1" applyAlignment="1">
      <alignment vertical="center"/>
    </xf>
    <xf numFmtId="0" fontId="2" fillId="7" borderId="47" xfId="0" applyFont="1" applyFill="1" applyBorder="1" applyAlignment="1">
      <alignment vertical="center"/>
    </xf>
    <xf numFmtId="0" fontId="2" fillId="7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 wrapText="1"/>
    </xf>
    <xf numFmtId="189" fontId="2" fillId="4" borderId="47" xfId="0" applyNumberFormat="1" applyFont="1" applyFill="1" applyBorder="1" applyAlignment="1">
      <alignment horizontal="right" vertical="center"/>
    </xf>
    <xf numFmtId="0" fontId="2" fillId="0" borderId="17" xfId="0" applyFont="1" applyBorder="1" applyAlignment="1">
      <alignment horizontal="center" vertical="center" wrapText="1"/>
    </xf>
    <xf numFmtId="0" fontId="1" fillId="0" borderId="18" xfId="0" quotePrefix="1" applyFont="1" applyBorder="1" applyAlignment="1">
      <alignment vertical="center"/>
    </xf>
    <xf numFmtId="0" fontId="1" fillId="0" borderId="17" xfId="0" applyFont="1" applyBorder="1" applyAlignment="1">
      <alignment horizontal="center" vertical="center" wrapText="1"/>
    </xf>
    <xf numFmtId="0" fontId="1" fillId="31" borderId="30" xfId="0" applyFont="1" applyFill="1" applyBorder="1" applyAlignment="1">
      <alignment vertical="center"/>
    </xf>
    <xf numFmtId="0" fontId="1" fillId="2" borderId="29" xfId="0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horizontal="center" vertical="center"/>
    </xf>
    <xf numFmtId="0" fontId="1" fillId="2" borderId="49" xfId="0" applyFont="1" applyFill="1" applyBorder="1" applyAlignment="1">
      <alignment vertical="center"/>
    </xf>
    <xf numFmtId="187" fontId="1" fillId="2" borderId="47" xfId="0" applyNumberFormat="1" applyFont="1" applyFill="1" applyBorder="1" applyAlignment="1">
      <alignment vertical="center"/>
    </xf>
    <xf numFmtId="0" fontId="1" fillId="2" borderId="47" xfId="0" applyFont="1" applyFill="1" applyBorder="1" applyAlignment="1">
      <alignment vertical="center"/>
    </xf>
    <xf numFmtId="0" fontId="1" fillId="0" borderId="44" xfId="0" applyFont="1" applyBorder="1" applyAlignment="1">
      <alignment vertical="center"/>
    </xf>
    <xf numFmtId="0" fontId="2" fillId="0" borderId="46" xfId="0" applyFont="1" applyBorder="1" applyAlignment="1">
      <alignment horizontal="center" vertical="center" wrapText="1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horizontal="center" vertical="center"/>
    </xf>
    <xf numFmtId="189" fontId="1" fillId="31" borderId="28" xfId="0" applyNumberFormat="1" applyFont="1" applyFill="1" applyBorder="1" applyAlignment="1">
      <alignment horizontal="center" vertical="center"/>
    </xf>
    <xf numFmtId="187" fontId="3" fillId="2" borderId="17" xfId="0" applyNumberFormat="1" applyFont="1" applyFill="1" applyBorder="1" applyAlignment="1">
      <alignment vertical="center"/>
    </xf>
    <xf numFmtId="187" fontId="3" fillId="2" borderId="18" xfId="0" applyNumberFormat="1" applyFont="1" applyFill="1" applyBorder="1" applyAlignment="1">
      <alignment vertical="center"/>
    </xf>
    <xf numFmtId="187" fontId="3" fillId="2" borderId="18" xfId="0" applyNumberFormat="1" applyFont="1" applyFill="1" applyBorder="1" applyAlignment="1">
      <alignment horizontal="left" vertical="center"/>
    </xf>
    <xf numFmtId="0" fontId="19" fillId="2" borderId="18" xfId="0" quotePrefix="1" applyFont="1" applyFill="1" applyBorder="1" applyAlignment="1">
      <alignment vertical="center"/>
    </xf>
    <xf numFmtId="0" fontId="19" fillId="2" borderId="18" xfId="0" applyFont="1" applyFill="1" applyBorder="1" applyAlignment="1">
      <alignment vertical="center"/>
    </xf>
    <xf numFmtId="0" fontId="19" fillId="2" borderId="20" xfId="0" applyFont="1" applyFill="1" applyBorder="1" applyAlignment="1">
      <alignment vertical="center"/>
    </xf>
    <xf numFmtId="0" fontId="19" fillId="2" borderId="19" xfId="0" applyFont="1" applyFill="1" applyBorder="1" applyAlignment="1">
      <alignment horizontal="center" vertical="center" wrapText="1"/>
    </xf>
    <xf numFmtId="189" fontId="19" fillId="2" borderId="19" xfId="0" applyNumberFormat="1" applyFont="1" applyFill="1" applyBorder="1" applyAlignment="1">
      <alignment horizontal="right" vertical="center" wrapText="1"/>
    </xf>
    <xf numFmtId="188" fontId="19" fillId="2" borderId="19" xfId="0" applyNumberFormat="1" applyFont="1" applyFill="1" applyBorder="1" applyAlignment="1">
      <alignment horizontal="right" vertical="center" wrapText="1"/>
    </xf>
    <xf numFmtId="188" fontId="19" fillId="2" borderId="19" xfId="0" applyNumberFormat="1" applyFont="1" applyFill="1" applyBorder="1" applyAlignment="1">
      <alignment vertical="center"/>
    </xf>
    <xf numFmtId="0" fontId="2" fillId="0" borderId="20" xfId="0" quotePrefix="1" applyFont="1" applyBorder="1" applyAlignment="1">
      <alignment horizontal="left" vertical="center"/>
    </xf>
    <xf numFmtId="0" fontId="1" fillId="10" borderId="29" xfId="0" applyFont="1" applyFill="1" applyBorder="1" applyAlignment="1">
      <alignment vertical="center"/>
    </xf>
    <xf numFmtId="0" fontId="1" fillId="10" borderId="30" xfId="0" applyFont="1" applyFill="1" applyBorder="1" applyAlignment="1">
      <alignment vertical="center"/>
    </xf>
    <xf numFmtId="0" fontId="1" fillId="10" borderId="31" xfId="0" applyFont="1" applyFill="1" applyBorder="1" applyAlignment="1">
      <alignment vertical="center"/>
    </xf>
    <xf numFmtId="0" fontId="1" fillId="10" borderId="19" xfId="0" applyFont="1" applyFill="1" applyBorder="1" applyAlignment="1">
      <alignment horizontal="left" vertical="center"/>
    </xf>
    <xf numFmtId="189" fontId="1" fillId="10" borderId="19" xfId="0" applyNumberFormat="1" applyFont="1" applyFill="1" applyBorder="1" applyAlignment="1">
      <alignment horizontal="left" vertical="center"/>
    </xf>
    <xf numFmtId="188" fontId="1" fillId="10" borderId="19" xfId="0" applyNumberFormat="1" applyFont="1" applyFill="1" applyBorder="1" applyAlignment="1">
      <alignment horizontal="left" vertical="center"/>
    </xf>
    <xf numFmtId="188" fontId="2" fillId="10" borderId="19" xfId="0" applyNumberFormat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/>
    </xf>
    <xf numFmtId="0" fontId="2" fillId="2" borderId="47" xfId="0" applyFont="1" applyFill="1" applyBorder="1" applyAlignment="1">
      <alignment vertical="center"/>
    </xf>
    <xf numFmtId="0" fontId="2" fillId="2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vertical="center"/>
    </xf>
    <xf numFmtId="0" fontId="20" fillId="32" borderId="50" xfId="0" applyFont="1" applyFill="1" applyBorder="1" applyAlignment="1"/>
    <xf numFmtId="0" fontId="20" fillId="32" borderId="28" xfId="0" applyFont="1" applyFill="1" applyBorder="1" applyAlignment="1"/>
    <xf numFmtId="188" fontId="20" fillId="32" borderId="28" xfId="0" applyNumberFormat="1" applyFont="1" applyFill="1" applyBorder="1" applyAlignment="1"/>
    <xf numFmtId="188" fontId="21" fillId="32" borderId="28" xfId="0" applyNumberFormat="1" applyFont="1" applyFill="1" applyBorder="1" applyAlignment="1">
      <alignment horizontal="right"/>
    </xf>
    <xf numFmtId="191" fontId="20" fillId="32" borderId="28" xfId="0" applyNumberFormat="1" applyFont="1" applyFill="1" applyBorder="1" applyAlignment="1"/>
    <xf numFmtId="0" fontId="20" fillId="15" borderId="17" xfId="0" applyFont="1" applyFill="1" applyBorder="1" applyAlignment="1"/>
    <xf numFmtId="0" fontId="20" fillId="15" borderId="18" xfId="0" applyFont="1" applyFill="1" applyBorder="1" applyAlignment="1"/>
    <xf numFmtId="0" fontId="21" fillId="15" borderId="18" xfId="0" applyFont="1" applyFill="1" applyBorder="1" applyAlignment="1"/>
    <xf numFmtId="0" fontId="23" fillId="15" borderId="18" xfId="0" applyFont="1" applyFill="1" applyBorder="1" applyAlignment="1"/>
    <xf numFmtId="0" fontId="23" fillId="0" borderId="19" xfId="0" applyFont="1" applyBorder="1" applyAlignment="1">
      <alignment horizontal="center"/>
    </xf>
    <xf numFmtId="3" fontId="20" fillId="0" borderId="19" xfId="0" applyNumberFormat="1" applyFont="1" applyBorder="1" applyAlignment="1"/>
    <xf numFmtId="0" fontId="20" fillId="0" borderId="19" xfId="0" applyFont="1" applyBorder="1" applyAlignment="1"/>
    <xf numFmtId="188" fontId="20" fillId="0" borderId="19" xfId="0" applyNumberFormat="1" applyFont="1" applyBorder="1" applyAlignment="1"/>
    <xf numFmtId="188" fontId="21" fillId="15" borderId="19" xfId="0" applyNumberFormat="1" applyFont="1" applyFill="1" applyBorder="1" applyAlignment="1">
      <alignment horizontal="right"/>
    </xf>
    <xf numFmtId="191" fontId="20" fillId="0" borderId="19" xfId="0" applyNumberFormat="1" applyFont="1" applyBorder="1" applyAlignment="1"/>
    <xf numFmtId="188" fontId="23" fillId="15" borderId="19" xfId="0" applyNumberFormat="1" applyFont="1" applyFill="1" applyBorder="1" applyAlignment="1">
      <alignment horizontal="right"/>
    </xf>
    <xf numFmtId="0" fontId="20" fillId="15" borderId="19" xfId="0" applyFont="1" applyFill="1" applyBorder="1" applyAlignment="1"/>
    <xf numFmtId="188" fontId="20" fillId="15" borderId="19" xfId="0" applyNumberFormat="1" applyFont="1" applyFill="1" applyBorder="1" applyAlignment="1"/>
    <xf numFmtId="3" fontId="20" fillId="15" borderId="19" xfId="0" applyNumberFormat="1" applyFont="1" applyFill="1" applyBorder="1" applyAlignment="1"/>
    <xf numFmtId="0" fontId="20" fillId="0" borderId="17" xfId="0" applyFont="1" applyBorder="1" applyAlignment="1"/>
    <xf numFmtId="0" fontId="20" fillId="0" borderId="18" xfId="0" applyFont="1" applyBorder="1" applyAlignment="1"/>
    <xf numFmtId="0" fontId="23" fillId="23" borderId="18" xfId="0" applyFont="1" applyFill="1" applyBorder="1" applyAlignment="1">
      <alignment horizontal="right"/>
    </xf>
    <xf numFmtId="187" fontId="20" fillId="15" borderId="19" xfId="0" applyNumberFormat="1" applyFont="1" applyFill="1" applyBorder="1" applyAlignment="1"/>
    <xf numFmtId="189" fontId="23" fillId="4" borderId="19" xfId="0" applyNumberFormat="1" applyFont="1" applyFill="1" applyBorder="1" applyAlignment="1">
      <alignment horizontal="right" wrapText="1"/>
    </xf>
    <xf numFmtId="191" fontId="20" fillId="15" borderId="19" xfId="0" applyNumberFormat="1" applyFont="1" applyFill="1" applyBorder="1" applyAlignment="1"/>
    <xf numFmtId="0" fontId="23" fillId="10" borderId="18" xfId="0" applyFont="1" applyFill="1" applyBorder="1" applyAlignment="1">
      <alignment horizontal="right"/>
    </xf>
    <xf numFmtId="187" fontId="23" fillId="15" borderId="19" xfId="0" applyNumberFormat="1" applyFont="1" applyFill="1" applyBorder="1" applyAlignment="1">
      <alignment horizontal="right"/>
    </xf>
    <xf numFmtId="189" fontId="23" fillId="15" borderId="19" xfId="0" applyNumberFormat="1" applyFont="1" applyFill="1" applyBorder="1" applyAlignment="1">
      <alignment horizontal="right"/>
    </xf>
    <xf numFmtId="188" fontId="23" fillId="0" borderId="19" xfId="0" applyNumberFormat="1" applyFont="1" applyBorder="1" applyAlignment="1">
      <alignment horizontal="right"/>
    </xf>
    <xf numFmtId="191" fontId="23" fillId="6" borderId="19" xfId="0" applyNumberFormat="1" applyFont="1" applyFill="1" applyBorder="1" applyAlignment="1">
      <alignment horizontal="right"/>
    </xf>
    <xf numFmtId="187" fontId="20" fillId="0" borderId="19" xfId="0" applyNumberFormat="1" applyFont="1" applyBorder="1" applyAlignment="1"/>
    <xf numFmtId="189" fontId="20" fillId="0" borderId="19" xfId="0" applyNumberFormat="1" applyFont="1" applyBorder="1" applyAlignment="1"/>
    <xf numFmtId="0" fontId="20" fillId="0" borderId="43" xfId="0" applyFont="1" applyBorder="1" applyAlignment="1"/>
    <xf numFmtId="0" fontId="25" fillId="0" borderId="44" xfId="0" applyFont="1" applyBorder="1" applyAlignment="1"/>
    <xf numFmtId="0" fontId="20" fillId="0" borderId="44" xfId="0" applyFont="1" applyBorder="1" applyAlignment="1"/>
    <xf numFmtId="0" fontId="23" fillId="0" borderId="46" xfId="0" applyFont="1" applyBorder="1" applyAlignment="1">
      <alignment horizontal="center"/>
    </xf>
    <xf numFmtId="187" fontId="20" fillId="0" borderId="46" xfId="0" applyNumberFormat="1" applyFont="1" applyBorder="1" applyAlignment="1"/>
    <xf numFmtId="189" fontId="23" fillId="4" borderId="46" xfId="0" applyNumberFormat="1" applyFont="1" applyFill="1" applyBorder="1" applyAlignment="1">
      <alignment horizontal="right" wrapText="1"/>
    </xf>
    <xf numFmtId="188" fontId="20" fillId="0" borderId="46" xfId="0" applyNumberFormat="1" applyFont="1" applyBorder="1" applyAlignment="1"/>
    <xf numFmtId="191" fontId="20" fillId="0" borderId="46" xfId="0" applyNumberFormat="1" applyFont="1" applyBorder="1" applyAlignment="1"/>
    <xf numFmtId="0" fontId="1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188" fontId="2" fillId="0" borderId="0" xfId="0" applyNumberFormat="1" applyFont="1" applyAlignment="1">
      <alignment horizontal="center" vertical="center"/>
    </xf>
    <xf numFmtId="191" fontId="2" fillId="0" borderId="0" xfId="0" applyNumberFormat="1" applyFont="1" applyAlignment="1">
      <alignment horizontal="center" vertical="center"/>
    </xf>
    <xf numFmtId="188" fontId="2" fillId="0" borderId="0" xfId="0" applyNumberFormat="1" applyFont="1" applyAlignment="1">
      <alignment vertical="center"/>
    </xf>
    <xf numFmtId="0" fontId="1" fillId="2" borderId="52" xfId="0" applyFont="1" applyFill="1" applyBorder="1" applyAlignment="1">
      <alignment vertical="center"/>
    </xf>
    <xf numFmtId="0" fontId="1" fillId="2" borderId="32" xfId="0" applyFont="1" applyFill="1" applyBorder="1" applyAlignment="1">
      <alignment vertical="center"/>
    </xf>
    <xf numFmtId="187" fontId="1" fillId="2" borderId="32" xfId="0" applyNumberFormat="1" applyFont="1" applyFill="1" applyBorder="1" applyAlignment="1">
      <alignment vertical="center"/>
    </xf>
    <xf numFmtId="0" fontId="2" fillId="2" borderId="32" xfId="0" applyFont="1" applyFill="1" applyBorder="1" applyAlignment="1">
      <alignment vertical="center"/>
    </xf>
    <xf numFmtId="0" fontId="2" fillId="2" borderId="33" xfId="0" applyFont="1" applyFill="1" applyBorder="1" applyAlignment="1">
      <alignment vertical="center"/>
    </xf>
    <xf numFmtId="0" fontId="2" fillId="2" borderId="34" xfId="0" applyFont="1" applyFill="1" applyBorder="1" applyAlignment="1">
      <alignment horizontal="center" vertical="center"/>
    </xf>
    <xf numFmtId="188" fontId="1" fillId="10" borderId="19" xfId="0" applyNumberFormat="1" applyFont="1" applyFill="1" applyBorder="1" applyAlignment="1">
      <alignment vertical="center"/>
    </xf>
    <xf numFmtId="0" fontId="13" fillId="2" borderId="14" xfId="0" applyFont="1" applyFill="1" applyBorder="1" applyAlignment="1">
      <alignment horizontal="left"/>
    </xf>
    <xf numFmtId="0" fontId="4" fillId="0" borderId="14" xfId="0" applyFont="1" applyBorder="1"/>
    <xf numFmtId="0" fontId="7" fillId="2" borderId="18" xfId="0" applyFont="1" applyFill="1" applyBorder="1" applyAlignment="1">
      <alignment horizontal="left"/>
    </xf>
    <xf numFmtId="0" fontId="4" fillId="0" borderId="18" xfId="0" applyFont="1" applyBorder="1"/>
    <xf numFmtId="0" fontId="10" fillId="15" borderId="18" xfId="0" applyFont="1" applyFill="1" applyBorder="1" applyAlignment="1">
      <alignment horizontal="left"/>
    </xf>
    <xf numFmtId="0" fontId="1" fillId="18" borderId="18" xfId="0" applyFont="1" applyFill="1" applyBorder="1" applyAlignment="1">
      <alignment horizontal="left"/>
    </xf>
    <xf numFmtId="0" fontId="12" fillId="19" borderId="18" xfId="0" applyFont="1" applyFill="1" applyBorder="1" applyAlignment="1">
      <alignment horizontal="left"/>
    </xf>
    <xf numFmtId="0" fontId="5" fillId="11" borderId="5" xfId="0" applyFont="1" applyFill="1" applyBorder="1" applyAlignment="1">
      <alignment horizontal="left"/>
    </xf>
    <xf numFmtId="0" fontId="4" fillId="0" borderId="6" xfId="0" applyFont="1" applyBorder="1"/>
    <xf numFmtId="0" fontId="4" fillId="0" borderId="7" xfId="0" applyFont="1" applyBorder="1"/>
    <xf numFmtId="0" fontId="5" fillId="12" borderId="14" xfId="0" applyFont="1" applyFill="1" applyBorder="1" applyAlignment="1">
      <alignment horizontal="left"/>
    </xf>
    <xf numFmtId="0" fontId="9" fillId="14" borderId="18" xfId="0" applyFont="1" applyFill="1" applyBorder="1" applyAlignment="1">
      <alignment horizontal="left"/>
    </xf>
    <xf numFmtId="0" fontId="6" fillId="9" borderId="14" xfId="0" applyFont="1" applyFill="1" applyBorder="1" applyAlignment="1">
      <alignment horizontal="left"/>
    </xf>
    <xf numFmtId="0" fontId="5" fillId="8" borderId="5" xfId="0" applyFont="1" applyFill="1" applyBorder="1" applyAlignment="1">
      <alignment horizontal="left"/>
    </xf>
    <xf numFmtId="0" fontId="1" fillId="0" borderId="0" xfId="0" applyFont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4" fillId="0" borderId="11" xfId="0" applyFont="1" applyBorder="1"/>
    <xf numFmtId="0" fontId="1" fillId="4" borderId="5" xfId="0" applyFont="1" applyFill="1" applyBorder="1" applyAlignment="1">
      <alignment horizontal="center" vertical="center"/>
    </xf>
    <xf numFmtId="188" fontId="1" fillId="5" borderId="5" xfId="0" applyNumberFormat="1" applyFont="1" applyFill="1" applyBorder="1" applyAlignment="1">
      <alignment horizontal="center" vertical="center" wrapText="1"/>
    </xf>
    <xf numFmtId="188" fontId="1" fillId="6" borderId="5" xfId="0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0" borderId="2" xfId="0" applyFont="1" applyBorder="1"/>
    <xf numFmtId="0" fontId="4" fillId="0" borderId="3" xfId="0" applyFont="1" applyBorder="1"/>
    <xf numFmtId="0" fontId="4" fillId="0" borderId="8" xfId="0" applyFont="1" applyBorder="1"/>
    <xf numFmtId="0" fontId="4" fillId="0" borderId="9" xfId="0" applyFont="1" applyBorder="1"/>
    <xf numFmtId="0" fontId="4" fillId="0" borderId="10" xfId="0" applyFont="1" applyBorder="1"/>
    <xf numFmtId="0" fontId="23" fillId="15" borderId="18" xfId="0" applyFont="1" applyFill="1" applyBorder="1" applyAlignment="1"/>
    <xf numFmtId="0" fontId="21" fillId="32" borderId="51" xfId="0" applyFont="1" applyFill="1" applyBorder="1" applyAlignment="1"/>
    <xf numFmtId="0" fontId="4" fillId="0" borderId="51" xfId="0" applyFont="1" applyBorder="1"/>
    <xf numFmtId="0" fontId="22" fillId="15" borderId="18" xfId="0" applyFont="1" applyFill="1" applyBorder="1" applyAlignment="1"/>
    <xf numFmtId="0" fontId="24" fillId="22" borderId="18" xfId="0" applyFont="1" applyFill="1" applyBorder="1" applyAlignment="1"/>
    <xf numFmtId="0" fontId="23" fillId="23" borderId="18" xfId="0" applyFont="1" applyFill="1" applyBorder="1" applyAlignment="1"/>
    <xf numFmtId="0" fontId="23" fillId="10" borderId="18" xfId="0" applyFont="1" applyFill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FF"/>
    <pageSetUpPr fitToPage="1"/>
  </sheetPr>
  <dimension ref="A1:P1143"/>
  <sheetViews>
    <sheetView tabSelected="1" view="pageBreakPreview" zoomScale="60" zoomScaleNormal="7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86" t="s">
        <v>0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  <c r="N1" s="586"/>
      <c r="O1" s="586"/>
      <c r="P1" s="586"/>
    </row>
    <row r="2" spans="1:16" ht="18" customHeight="1" x14ac:dyDescent="0.25">
      <c r="A2" s="586" t="s">
        <v>1</v>
      </c>
      <c r="B2" s="586"/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86"/>
      <c r="P2" s="586"/>
    </row>
    <row r="3" spans="1:16" ht="18" customHeight="1" x14ac:dyDescent="0.25">
      <c r="A3" s="586" t="s">
        <v>290</v>
      </c>
      <c r="B3" s="586"/>
      <c r="C3" s="586"/>
      <c r="D3" s="586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  <c r="P3" s="586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2" t="s">
        <v>2</v>
      </c>
      <c r="B5" s="593"/>
      <c r="C5" s="593"/>
      <c r="D5" s="593"/>
      <c r="E5" s="593"/>
      <c r="F5" s="593"/>
      <c r="G5" s="594"/>
      <c r="H5" s="587" t="s">
        <v>3</v>
      </c>
      <c r="I5" s="589" t="s">
        <v>4</v>
      </c>
      <c r="J5" s="580"/>
      <c r="K5" s="581"/>
      <c r="L5" s="590" t="s">
        <v>5</v>
      </c>
      <c r="M5" s="581"/>
      <c r="N5" s="591" t="s">
        <v>6</v>
      </c>
      <c r="O5" s="580"/>
      <c r="P5" s="581"/>
    </row>
    <row r="6" spans="1:16" ht="21.75" customHeight="1" x14ac:dyDescent="0.25">
      <c r="A6" s="595"/>
      <c r="B6" s="596"/>
      <c r="C6" s="596"/>
      <c r="D6" s="596"/>
      <c r="E6" s="596"/>
      <c r="F6" s="596"/>
      <c r="G6" s="597"/>
      <c r="H6" s="58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5" t="s">
        <v>15</v>
      </c>
      <c r="B7" s="580"/>
      <c r="C7" s="580"/>
      <c r="D7" s="580"/>
      <c r="E7" s="580"/>
      <c r="F7" s="580"/>
      <c r="G7" s="58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4" t="s">
        <v>17</v>
      </c>
      <c r="E8" s="573"/>
      <c r="F8" s="573"/>
      <c r="G8" s="573"/>
      <c r="H8" s="20" t="s">
        <v>12</v>
      </c>
      <c r="I8" s="21"/>
      <c r="J8" s="21"/>
      <c r="K8" s="22"/>
      <c r="L8" s="23">
        <f t="shared" ref="L8:N8" ca="1" si="0">L9+L10</f>
        <v>65840072.329999998</v>
      </c>
      <c r="M8" s="23">
        <f t="shared" ca="1" si="0"/>
        <v>48249520.329999998</v>
      </c>
      <c r="N8" s="23">
        <f t="shared" ca="1" si="0"/>
        <v>54120135.579999998</v>
      </c>
      <c r="O8" s="22">
        <f t="shared" ref="O8:O16" ca="1" si="1">IF(L8&gt;0,N8*100/L8,0)</f>
        <v>82.199386581384701</v>
      </c>
      <c r="P8" s="22">
        <f t="shared" ref="P8:P16" ca="1" si="2">IF(M8&gt;0,N8*100/M8,0)</f>
        <v>112.16719919669303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65840072.329999998</v>
      </c>
      <c r="M10" s="30">
        <f t="shared" ca="1" si="4"/>
        <v>48249520.329999998</v>
      </c>
      <c r="N10" s="30">
        <f t="shared" ca="1" si="4"/>
        <v>54120135.579999998</v>
      </c>
      <c r="O10" s="29">
        <f t="shared" ca="1" si="1"/>
        <v>82.199386581384701</v>
      </c>
      <c r="P10" s="29">
        <f t="shared" ca="1" si="2"/>
        <v>112.16719919669303</v>
      </c>
    </row>
    <row r="11" spans="1:16" ht="21.75" customHeight="1" x14ac:dyDescent="0.3">
      <c r="A11" s="31"/>
      <c r="B11" s="32"/>
      <c r="C11" s="33" t="s">
        <v>16</v>
      </c>
      <c r="D11" s="574" t="s">
        <v>20</v>
      </c>
      <c r="E11" s="575"/>
      <c r="F11" s="57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55179302.329999998</v>
      </c>
      <c r="M12" s="38">
        <f t="shared" ca="1" si="6"/>
        <v>38624250.329999998</v>
      </c>
      <c r="N12" s="38">
        <f t="shared" ca="1" si="6"/>
        <v>46969365.579999998</v>
      </c>
      <c r="O12" s="38">
        <f t="shared" ca="1" si="1"/>
        <v>85.121347310807877</v>
      </c>
      <c r="P12" s="38">
        <f t="shared" ca="1" si="2"/>
        <v>121.60589572276626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25113012.329999998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30066290</v>
      </c>
      <c r="M14" s="38">
        <f t="shared" si="8"/>
        <v>0</v>
      </c>
      <c r="N14" s="38">
        <f t="shared" ca="1" si="8"/>
        <v>13201932.279999999</v>
      </c>
      <c r="O14" s="41">
        <f t="shared" ca="1" si="1"/>
        <v>43.909415760973502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4" t="s">
        <v>23</v>
      </c>
      <c r="E15" s="57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10660770</v>
      </c>
      <c r="M16" s="38">
        <f t="shared" ca="1" si="10"/>
        <v>9625270</v>
      </c>
      <c r="N16" s="38">
        <f t="shared" ca="1" si="10"/>
        <v>7150770</v>
      </c>
      <c r="O16" s="50">
        <f t="shared" ca="1" si="1"/>
        <v>67.075548951904977</v>
      </c>
      <c r="P16" s="50">
        <f t="shared" ca="1" si="2"/>
        <v>74.291630260761522</v>
      </c>
    </row>
    <row r="17" spans="1:16" ht="21.75" customHeight="1" x14ac:dyDescent="0.3">
      <c r="A17" s="585" t="s">
        <v>24</v>
      </c>
      <c r="B17" s="580"/>
      <c r="C17" s="580"/>
      <c r="D17" s="580"/>
      <c r="E17" s="580"/>
      <c r="F17" s="580"/>
      <c r="G17" s="58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4" t="s">
        <v>17</v>
      </c>
      <c r="E18" s="573"/>
      <c r="F18" s="573"/>
      <c r="G18" s="573"/>
      <c r="H18" s="20" t="s">
        <v>12</v>
      </c>
      <c r="I18" s="21"/>
      <c r="J18" s="21"/>
      <c r="K18" s="22"/>
      <c r="L18" s="23">
        <f t="shared" ref="L18:N18" ca="1" si="11">L19+L20</f>
        <v>47497320.329999998</v>
      </c>
      <c r="M18" s="23">
        <f t="shared" ca="1" si="11"/>
        <v>48249520.329999998</v>
      </c>
      <c r="N18" s="23">
        <f t="shared" ca="1" si="11"/>
        <v>39911203.299999997</v>
      </c>
      <c r="O18" s="22">
        <f t="shared" ref="O18:O26" ca="1" si="12">IF(L18&gt;0,N18*100/L18,0)</f>
        <v>84.028326277580547</v>
      </c>
      <c r="P18" s="22">
        <f t="shared" ref="P18:P26" ca="1" si="13">IF(M18&gt;0,N18*100/M18,0)</f>
        <v>82.718342124500865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47497320.329999998</v>
      </c>
      <c r="M20" s="30">
        <f t="shared" ca="1" si="15"/>
        <v>48249520.329999998</v>
      </c>
      <c r="N20" s="30">
        <f t="shared" ca="1" si="15"/>
        <v>39911203.299999997</v>
      </c>
      <c r="O20" s="29">
        <f t="shared" ca="1" si="12"/>
        <v>84.028326277580547</v>
      </c>
      <c r="P20" s="29">
        <f t="shared" ca="1" si="13"/>
        <v>82.718342124500865</v>
      </c>
    </row>
    <row r="21" spans="1:16" ht="21.75" customHeight="1" x14ac:dyDescent="0.3">
      <c r="A21" s="31"/>
      <c r="B21" s="32"/>
      <c r="C21" s="33" t="s">
        <v>16</v>
      </c>
      <c r="D21" s="574" t="s">
        <v>20</v>
      </c>
      <c r="E21" s="575"/>
      <c r="F21" s="575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si="12"/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7">L45+L57+L70+L98+L122+L144+L224+L254+L275+L294+L314+L333</f>
        <v>37843550.329999998</v>
      </c>
      <c r="M22" s="42">
        <f t="shared" ca="1" si="17"/>
        <v>38624250.329999998</v>
      </c>
      <c r="N22" s="41">
        <f t="shared" ca="1" si="17"/>
        <v>33767433.299999997</v>
      </c>
      <c r="O22" s="41">
        <f t="shared" ca="1" si="12"/>
        <v>89.229031117704849</v>
      </c>
      <c r="P22" s="41">
        <f t="shared" ca="1" si="13"/>
        <v>87.425472369032249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8">L46+L58+L71+L99+L123+L145+L225+L255+L276+L295+L315+L334</f>
        <v>25113012.329999998</v>
      </c>
      <c r="M23" s="42">
        <f t="shared" si="18"/>
        <v>0</v>
      </c>
      <c r="N23" s="41">
        <f t="shared" si="18"/>
        <v>0</v>
      </c>
      <c r="O23" s="41">
        <f t="shared" ca="1" si="12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19">L47+L59+L72+L100+L124+L146+L226+L256+L277+L296+L316+L335</f>
        <v>12730538</v>
      </c>
      <c r="M24" s="42">
        <f t="shared" si="19"/>
        <v>0</v>
      </c>
      <c r="N24" s="41">
        <f t="shared" si="19"/>
        <v>0</v>
      </c>
      <c r="O24" s="41">
        <f t="shared" ca="1" si="12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4" t="s">
        <v>23</v>
      </c>
      <c r="E25" s="575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0">L48+L60+L73+L101+L125+L147+L227+L257+L278+L297+L317+L336</f>
        <v>0</v>
      </c>
      <c r="M25" s="42">
        <f t="shared" si="20"/>
        <v>0</v>
      </c>
      <c r="N25" s="42">
        <f t="shared" si="20"/>
        <v>0</v>
      </c>
      <c r="O25" s="42">
        <f t="shared" si="12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1">L49+L61+L74+L102+L126+L148+L228+L258+L279+L298+L318+L337</f>
        <v>9653770</v>
      </c>
      <c r="M26" s="50">
        <f t="shared" ca="1" si="21"/>
        <v>9625270</v>
      </c>
      <c r="N26" s="50">
        <f t="shared" ca="1" si="21"/>
        <v>6143770</v>
      </c>
      <c r="O26" s="50">
        <f t="shared" ca="1" si="12"/>
        <v>63.64114744809541</v>
      </c>
      <c r="P26" s="50">
        <f t="shared" ca="1" si="13"/>
        <v>63.829586079143752</v>
      </c>
    </row>
    <row r="27" spans="1:16" ht="21.75" customHeight="1" x14ac:dyDescent="0.3">
      <c r="A27" s="585" t="s">
        <v>25</v>
      </c>
      <c r="B27" s="580"/>
      <c r="C27" s="580"/>
      <c r="D27" s="580"/>
      <c r="E27" s="580"/>
      <c r="F27" s="580"/>
      <c r="G27" s="58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4" t="s">
        <v>17</v>
      </c>
      <c r="E28" s="573"/>
      <c r="F28" s="573"/>
      <c r="G28" s="573"/>
      <c r="H28" s="20" t="s">
        <v>12</v>
      </c>
      <c r="I28" s="21"/>
      <c r="J28" s="21"/>
      <c r="K28" s="22"/>
      <c r="L28" s="23">
        <f t="shared" ref="L28:N28" ca="1" si="22">L29+L30</f>
        <v>18342752</v>
      </c>
      <c r="M28" s="23">
        <f t="shared" si="22"/>
        <v>0</v>
      </c>
      <c r="N28" s="23">
        <f t="shared" ca="1" si="22"/>
        <v>14208932.279999999</v>
      </c>
      <c r="O28" s="22">
        <f t="shared" ref="O28:O30" ca="1" si="23">IF(L28&gt;0,N28*100/L28,0)</f>
        <v>77.463470475967839</v>
      </c>
      <c r="P28" s="22">
        <f t="shared" ref="P28:P37" si="24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5">L31+L35</f>
        <v>0</v>
      </c>
      <c r="M29" s="30">
        <f t="shared" si="25"/>
        <v>0</v>
      </c>
      <c r="N29" s="30">
        <f t="shared" ca="1" si="25"/>
        <v>0</v>
      </c>
      <c r="O29" s="29">
        <f t="shared" ca="1" si="23"/>
        <v>0</v>
      </c>
      <c r="P29" s="29">
        <f t="shared" si="24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6">L32+L36</f>
        <v>18342752</v>
      </c>
      <c r="M30" s="30">
        <f t="shared" si="26"/>
        <v>0</v>
      </c>
      <c r="N30" s="30">
        <f t="shared" ca="1" si="26"/>
        <v>14208932.279999999</v>
      </c>
      <c r="O30" s="29">
        <f t="shared" ca="1" si="23"/>
        <v>77.463470475967839</v>
      </c>
      <c r="P30" s="29">
        <f t="shared" si="24"/>
        <v>0</v>
      </c>
    </row>
    <row r="31" spans="1:16" ht="21.75" customHeight="1" x14ac:dyDescent="0.3">
      <c r="A31" s="31"/>
      <c r="B31" s="32"/>
      <c r="C31" s="33" t="s">
        <v>16</v>
      </c>
      <c r="D31" s="574" t="s">
        <v>20</v>
      </c>
      <c r="E31" s="575"/>
      <c r="F31" s="575"/>
      <c r="G31" s="34" t="s">
        <v>18</v>
      </c>
      <c r="H31" s="35" t="s">
        <v>12</v>
      </c>
      <c r="I31" s="36"/>
      <c r="J31" s="36"/>
      <c r="K31" s="37"/>
      <c r="L31" s="41">
        <f t="shared" ref="L31:N31" ca="1" si="27">L351+L382+L403+L436+L456+L534+L552+L565+L581+L598</f>
        <v>0</v>
      </c>
      <c r="M31" s="41">
        <f t="shared" si="27"/>
        <v>0</v>
      </c>
      <c r="N31" s="41">
        <f t="shared" ca="1" si="27"/>
        <v>0</v>
      </c>
      <c r="O31" s="41">
        <f t="shared" ref="O31:O37" ca="1" si="28">IF(L31&gt;0,N31*100/L31,0)</f>
        <v>0</v>
      </c>
      <c r="P31" s="41">
        <f t="shared" si="24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ca="1">L352+L383+L404+L437+L457+L535+L553+L566+L582+L599-103000-904000</f>
        <v>17335752</v>
      </c>
      <c r="M32" s="41">
        <f>M352+M383+M404+M437+M457+M535+M553+M566+M582+M599</f>
        <v>0</v>
      </c>
      <c r="N32" s="41">
        <f ca="1">(N352+N383+N404+N437+N457+N535+N553+N566+N582+N599)-103000-904000</f>
        <v>13201932.279999999</v>
      </c>
      <c r="O32" s="41">
        <f t="shared" ca="1" si="28"/>
        <v>76.154367459802145</v>
      </c>
      <c r="P32" s="41">
        <f t="shared" si="24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29">L353+L384+L405+L438+L458+L536+L554+L567+L583+L600</f>
        <v>0</v>
      </c>
      <c r="M33" s="41">
        <f t="shared" si="29"/>
        <v>0</v>
      </c>
      <c r="N33" s="41">
        <f t="shared" ca="1" si="29"/>
        <v>0</v>
      </c>
      <c r="O33" s="41">
        <f t="shared" ca="1" si="28"/>
        <v>0</v>
      </c>
      <c r="P33" s="41">
        <f t="shared" si="24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0">L354+L385+L406+L439+L459+L537+L555+L568+L584+L601</f>
        <v>17335752</v>
      </c>
      <c r="M34" s="41">
        <f t="shared" si="30"/>
        <v>0</v>
      </c>
      <c r="N34" s="41">
        <f t="shared" ca="1" si="30"/>
        <v>13201932.279999999</v>
      </c>
      <c r="O34" s="41">
        <f t="shared" ca="1" si="28"/>
        <v>76.154367459802145</v>
      </c>
      <c r="P34" s="41">
        <f t="shared" si="24"/>
        <v>0</v>
      </c>
    </row>
    <row r="35" spans="1:16" ht="21.75" customHeight="1" x14ac:dyDescent="0.3">
      <c r="A35" s="31"/>
      <c r="B35" s="32"/>
      <c r="C35" s="33" t="s">
        <v>16</v>
      </c>
      <c r="D35" s="574" t="s">
        <v>23</v>
      </c>
      <c r="E35" s="575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8"/>
        <v>0</v>
      </c>
      <c r="P35" s="42">
        <f t="shared" si="24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f>กระบี่!L36+ชุมพร!L36+ตรัง!L36+นครศรีธรรมราช!L36+นราธิวาส!L36+ปัตตานี!L36+พังงา!L36+พัทลุง!L36+ภูเก็ต!L36+ยะลา!L36+ระนอง!L36+สงขลา!L36+สตูล!L36+สุราษฎร์ธานี!L36</f>
        <v>1007000</v>
      </c>
      <c r="M36" s="52">
        <v>0</v>
      </c>
      <c r="N36" s="52">
        <f>กระบี่!N36+ชุมพร!N36+ตรัง!N36+นครศรีธรรมราช!N36+นราธิวาส!N36+ปัตตานี!N36+พังงา!N36+พัทลุง!N36+ภูเก็ต!N36+ยะลา!N36+ระนอง!N36+สงขลา!N36+สตูล!N36+สุราษฎร์ธานี!N36</f>
        <v>1007000</v>
      </c>
      <c r="O36" s="50">
        <f t="shared" si="28"/>
        <v>100</v>
      </c>
      <c r="P36" s="50">
        <f t="shared" si="24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1">L41+L53+L66+L94+L118+L140+L220+L250+L271+L290+L310+L329</f>
        <v>47497320.329999998</v>
      </c>
      <c r="M37" s="55">
        <f t="shared" ca="1" si="31"/>
        <v>48249520.329999998</v>
      </c>
      <c r="N37" s="55">
        <f t="shared" ca="1" si="31"/>
        <v>39911203.299999997</v>
      </c>
      <c r="O37" s="56">
        <f t="shared" ca="1" si="28"/>
        <v>84.028326277580547</v>
      </c>
      <c r="P37" s="56">
        <f t="shared" ca="1" si="24"/>
        <v>82.718342124500865</v>
      </c>
    </row>
    <row r="38" spans="1:16" ht="21.75" customHeight="1" x14ac:dyDescent="0.3">
      <c r="A38" s="579" t="s">
        <v>27</v>
      </c>
      <c r="B38" s="580"/>
      <c r="C38" s="580"/>
      <c r="D38" s="580"/>
      <c r="E38" s="580"/>
      <c r="F38" s="580"/>
      <c r="G38" s="581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82" t="s">
        <v>28</v>
      </c>
      <c r="C39" s="573"/>
      <c r="D39" s="573"/>
      <c r="E39" s="573"/>
      <c r="F39" s="573"/>
      <c r="G39" s="573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83" t="s">
        <v>17</v>
      </c>
      <c r="E41" s="575"/>
      <c r="F41" s="575"/>
      <c r="G41" s="575"/>
      <c r="H41" s="76" t="s">
        <v>12</v>
      </c>
      <c r="I41" s="77"/>
      <c r="J41" s="77"/>
      <c r="K41" s="78"/>
      <c r="L41" s="79">
        <f t="shared" ref="L41:N41" ca="1" si="32">L42+L43</f>
        <v>10750700</v>
      </c>
      <c r="M41" s="79">
        <f t="shared" ca="1" si="32"/>
        <v>10722200</v>
      </c>
      <c r="N41" s="79">
        <f t="shared" ca="1" si="32"/>
        <v>9914675.0700000003</v>
      </c>
      <c r="O41" s="78">
        <f t="shared" ref="O41:O43" ca="1" si="33">IF(L41&gt;0,N41*100/L41,0)</f>
        <v>92.223530281749092</v>
      </c>
      <c r="P41" s="78">
        <f t="shared" ref="P41:P43" ca="1" si="34">IF(M41&gt;0,N41*100/M41,0)</f>
        <v>92.468663800339485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5">L44+L48</f>
        <v>0</v>
      </c>
      <c r="M42" s="79">
        <f t="shared" si="35"/>
        <v>0</v>
      </c>
      <c r="N42" s="79">
        <f t="shared" si="35"/>
        <v>0</v>
      </c>
      <c r="O42" s="78">
        <f t="shared" si="33"/>
        <v>0</v>
      </c>
      <c r="P42" s="78">
        <f t="shared" si="34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6">L45+L49</f>
        <v>10750700</v>
      </c>
      <c r="M43" s="79">
        <f t="shared" ca="1" si="36"/>
        <v>10722200</v>
      </c>
      <c r="N43" s="79">
        <f t="shared" ca="1" si="36"/>
        <v>9914675.0700000003</v>
      </c>
      <c r="O43" s="78">
        <f t="shared" ca="1" si="33"/>
        <v>92.223530281749092</v>
      </c>
      <c r="P43" s="78">
        <f t="shared" ca="1" si="34"/>
        <v>92.468663800339485</v>
      </c>
    </row>
    <row r="44" spans="1:16" ht="21.75" customHeight="1" x14ac:dyDescent="0.3">
      <c r="A44" s="80"/>
      <c r="B44" s="81"/>
      <c r="C44" s="82" t="s">
        <v>16</v>
      </c>
      <c r="D44" s="576" t="s">
        <v>20</v>
      </c>
      <c r="E44" s="575"/>
      <c r="F44" s="575"/>
      <c r="G44" s="83" t="s">
        <v>18</v>
      </c>
      <c r="H44" s="84" t="s">
        <v>12</v>
      </c>
      <c r="I44" s="85"/>
      <c r="J44" s="85"/>
      <c r="K44" s="86"/>
      <c r="L44" s="38">
        <f>กระบี่!L44+ชุมพร!L44+ตรัง!L44+นครศรีธรรมราช!L44+นราธิวาส!L44+ปัตตานี!L44+พังงา!L44+พัทลุง!L44+ภูเก็ต!L44+ยะลา!L44+ระนอง!L44+สงขลา!L44+สตูล!L44+สุราษฎร์ธานี!L44</f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กระบี่!L45+ชุมพร!L45+ตรัง!L45+นครศรีธรรมราช!L45+นราธิวาส!L45+ปัตตานี!L45+พังงา!L45+พัทลุง!L45+ภูเก็ต!L45+ยะลา!L45+ระนอง!L45+สงขลา!L45+สตูล!L45+สุราษฎร์ธานี!L45</f>
        <v>9077900</v>
      </c>
      <c r="M45" s="91">
        <f ca="1">กระบี่!M45+ชุมพร!M45+ตรัง!M45+นครศรีธรรมราช!M45+นราธิวาส!M45+ปัตตานี!M45+พังงา!M45+พัทลุง!M45+ภูเก็ต!M45+ยะลา!M45+ระนอง!M45+สงขลา!M45+สตูล!M45+สุราษฎร์ธานี!M45</f>
        <v>9077900</v>
      </c>
      <c r="N45" s="91">
        <f ca="1">กระบี่!N45+ชุมพร!N45+ตรัง!N45+นครศรีธรรมราช!N45+นราธิวาส!N45+ปัตตานี!N45+พังงา!N45+พัทลุง!N45+ภูเก็ต!N45+ยะลา!N45+ระนอง!N45+สงขลา!N45+สตูล!N45+สุราษฎร์ธานี!N45</f>
        <v>8243875.0700000012</v>
      </c>
      <c r="O45" s="92">
        <f ca="1">IF(L45&gt;0,N45*100/L45,0)</f>
        <v>90.812578569933592</v>
      </c>
      <c r="P45" s="92">
        <f ca="1">IF(M45&gt;0,N45*100/M45,0)</f>
        <v>90.812578569933592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กระบี่!L46+ชุมพร!L46+ตรัง!L46+นครศรีธรรมราช!L46+นราธิวาส!L46+ปัตตานี!L46+พังงา!L46+พัทลุง!L46+ภูเก็ต!L46+ยะลา!L46+ระนอง!L46+สงขลา!L46+สตูล!L46+สุราษฎร์ธานี!L46</f>
        <v>9077900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กระบี่!L47+ชุมพร!L47+ตรัง!L47+นครศรีธรรมราช!L47+นราธิวาส!L47+ปัตตานี!L47+พังงา!L47+พัทลุง!L47+ภูเก็ต!L47+ยะลา!L47+ระนอง!L47+สงขลา!L47+สตูล!L47+สุราษฎร์ธานี!L47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6" t="s">
        <v>23</v>
      </c>
      <c r="E48" s="575"/>
      <c r="F48" s="89"/>
      <c r="G48" s="83" t="s">
        <v>18</v>
      </c>
      <c r="H48" s="84" t="s">
        <v>12</v>
      </c>
      <c r="I48" s="85"/>
      <c r="J48" s="85"/>
      <c r="K48" s="86"/>
      <c r="L48" s="51">
        <f>กระบี่!L48+ชุมพร!L48+ตรัง!L48+นครศรีธรรมราช!L48+นราธิวาส!L48+ปัตตานี!L48+พังงา!L48+พัทลุง!L48+ภูเก็ต!L48+ยะลา!L48+ระนอง!L48+สงขลา!L48+สตูล!L48+สุราษฎร์ธานี!L48</f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กระบี่!L49+ชุมพร!L49+ตรัง!L49+นครศรีธรรมราช!L49+นราธิวาส!L49+ปัตตานี!L49+พังงา!L49+พัทลุง!L49+ภูเก็ต!L49+ยะลา!L49+ระนอง!L49+สงขลา!L49+สตูล!L49+สุราษฎร์ธานี!L49</f>
        <v>1672800</v>
      </c>
      <c r="M49" s="101">
        <f ca="1">กระบี่!M49+ชุมพร!M49+ตรัง!M49+นครศรีธรรมราช!M49+นราธิวาส!M49+ปัตตานี!M49+พังงา!M49+พัทลุง!M49+ภูเก็ต!M49+ยะลา!M49+ระนอง!M49+สงขลา!M49+สตูล!M49+สุราษฎร์ธานี!M49</f>
        <v>1644300</v>
      </c>
      <c r="N49" s="91">
        <f ca="1">กระบี่!N49+ชุมพร!N49+ตรัง!N49+นครศรีธรรมราช!N49+นราธิวาส!N49+ปัตตานี!N49+พังงา!N49+พัทลุง!N49+ภูเก็ต!N49+ยะลา!N49+ระนอง!N49+สงขลา!N49+สตูล!N49+สุราษฎร์ธานี!N49</f>
        <v>1670800</v>
      </c>
      <c r="O49" s="101">
        <f ca="1">IF(L49&gt;0,N49*100/L49,0)</f>
        <v>99.880439980870392</v>
      </c>
      <c r="P49" s="101">
        <f ca="1">IF(M49&gt;0,N49*100/M49,0)</f>
        <v>101.61162804840966</v>
      </c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577" t="s">
        <v>32</v>
      </c>
      <c r="C52" s="575"/>
      <c r="D52" s="575"/>
      <c r="E52" s="575"/>
      <c r="F52" s="575"/>
      <c r="G52" s="575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578" t="s">
        <v>17</v>
      </c>
      <c r="E53" s="575"/>
      <c r="F53" s="575"/>
      <c r="G53" s="575"/>
      <c r="H53" s="122" t="s">
        <v>12</v>
      </c>
      <c r="I53" s="123"/>
      <c r="J53" s="123"/>
      <c r="K53" s="124"/>
      <c r="L53" s="125">
        <f t="shared" ref="L53:N53" ca="1" si="37">L54+L55</f>
        <v>6512712.3300000001</v>
      </c>
      <c r="M53" s="125">
        <f t="shared" ca="1" si="37"/>
        <v>6512712.3300000001</v>
      </c>
      <c r="N53" s="125">
        <f t="shared" ca="1" si="37"/>
        <v>5860611.2999999989</v>
      </c>
      <c r="O53" s="124">
        <f t="shared" ref="O53:O55" ca="1" si="38">IF(L53&gt;0,N53*100/L53,0)</f>
        <v>89.987258810800242</v>
      </c>
      <c r="P53" s="124">
        <f t="shared" ref="P53:P55" ca="1" si="39">IF(M53&gt;0,N53*100/M53,0)</f>
        <v>89.987258810800242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0">L56+L60</f>
        <v>0</v>
      </c>
      <c r="M54" s="125">
        <f t="shared" si="40"/>
        <v>0</v>
      </c>
      <c r="N54" s="125">
        <f t="shared" si="40"/>
        <v>0</v>
      </c>
      <c r="O54" s="124">
        <f t="shared" si="38"/>
        <v>0</v>
      </c>
      <c r="P54" s="124">
        <f t="shared" si="39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1">L57+L61</f>
        <v>6512712.3300000001</v>
      </c>
      <c r="M55" s="125">
        <f t="shared" ca="1" si="41"/>
        <v>6512712.3300000001</v>
      </c>
      <c r="N55" s="125">
        <f t="shared" ca="1" si="41"/>
        <v>5860611.2999999989</v>
      </c>
      <c r="O55" s="124">
        <f t="shared" ca="1" si="38"/>
        <v>89.987258810800242</v>
      </c>
      <c r="P55" s="124">
        <f t="shared" ca="1" si="39"/>
        <v>89.987258810800242</v>
      </c>
    </row>
    <row r="56" spans="1:16" ht="21.75" customHeight="1" x14ac:dyDescent="0.3">
      <c r="A56" s="80"/>
      <c r="B56" s="81"/>
      <c r="C56" s="82" t="s">
        <v>16</v>
      </c>
      <c r="D56" s="576" t="s">
        <v>20</v>
      </c>
      <c r="E56" s="575"/>
      <c r="F56" s="575"/>
      <c r="G56" s="83" t="s">
        <v>18</v>
      </c>
      <c r="H56" s="84" t="s">
        <v>12</v>
      </c>
      <c r="I56" s="85"/>
      <c r="J56" s="85"/>
      <c r="K56" s="86"/>
      <c r="L56" s="88">
        <f>กระบี่!L56+ชุมพร!L56+ตรัง!L56+นครศรีธรรมราช!L56+นราธิวาส!L56+ปัตตานี!L56+พังงา!L56+พัทลุง!L56+ภูเก็ต!L56+ยะลา!L56+ระนอง!L56+สงขลา!L56+สตูล!L56+สุราษฎร์ธานี!L56</f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กระบี่!L57+ชุมพร!L57+ตรัง!L57+นครศรีธรรมราช!L57+นราธิวาส!L57+ปัตตานี!L57+พังงา!L57+พัทลุง!L57+ภูเก็ต!L57+ยะลา!L57+ระนอง!L57+สงขลา!L57+สตูล!L57+สุราษฎร์ธานี!L57</f>
        <v>6512712.3300000001</v>
      </c>
      <c r="M57" s="91">
        <f ca="1">กระบี่!M57+ชุมพร!M57+ตรัง!M57+นครศรีธรรมราช!M57+นราธิวาส!M57+ปัตตานี!M57+พังงา!M57+พัทลุง!M57+ภูเก็ต!M57+ยะลา!M57+ระนอง!M57+สงขลา!M57+สตูล!M57+สุราษฎร์ธานี!M57</f>
        <v>6512712.3300000001</v>
      </c>
      <c r="N57" s="91">
        <f ca="1">กระบี่!N57+ชุมพร!N57+ตรัง!N57+นครศรีธรรมราช!N57+นราธิวาส!N57+ปัตตานี!N57+พังงา!N57+พัทลุง!N57+ภูเก็ต!N57+ยะลา!N57+ระนอง!N57+สงขลา!N57+สตูล!N57+สุราษฎร์ธานี!N57</f>
        <v>5860611.2999999989</v>
      </c>
      <c r="O57" s="92">
        <f ca="1">IF(L57&gt;0,N57*100/L57,0)</f>
        <v>89.987258810800242</v>
      </c>
      <c r="P57" s="92">
        <f ca="1">IF(M57&gt;0,N57*100/M57,0)</f>
        <v>89.987258810800242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กระบี่!L58+ชุมพร!L58+ตรัง!L58+นครศรีธรรมราช!L58+นราธิวาส!L58+ปัตตานี!L58+พังงา!L58+พัทลุง!L58+ภูเก็ต!L58+ยะลา!L58+ระนอง!L58+สงขลา!L58+สตูล!L58+สุราษฎร์ธานี!L58</f>
        <v>6512712.3300000001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กระบี่!L59+ชุมพร!L59+ตรัง!L59+นครศรีธรรมราช!L59+นราธิวาส!L59+ปัตตานี!L59+พังงา!L59+พัทลุง!L59+ภูเก็ต!L59+ยะลา!L59+ระนอง!L59+สงขลา!L59+สตูล!L59+สุราษฎร์ธานี!L59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6" t="s">
        <v>23</v>
      </c>
      <c r="E60" s="575"/>
      <c r="F60" s="89"/>
      <c r="G60" s="83" t="s">
        <v>18</v>
      </c>
      <c r="H60" s="84" t="s">
        <v>12</v>
      </c>
      <c r="I60" s="85"/>
      <c r="J60" s="85"/>
      <c r="K60" s="86"/>
      <c r="L60" s="51">
        <f>กระบี่!L60+ชุมพร!L60+ตรัง!L60+นครศรีธรรมราช!L60+นราธิวาส!L60+ปัตตานี!L60+พังงา!L60+พัทลุง!L60+ภูเก็ต!L60+ยะลา!L60+ระนอง!L60+สงขลา!L60+สตูล!L60+สุราษฎร์ธานี!L60</f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กระบี่!L61+ชุมพร!L61+ตรัง!L61+นครศรีธรรมราช!L61+นราธิวาส!L61+ปัตตานี!L61+พังงา!L61+พัทลุง!L61+ภูเก็ต!L61+ยะลา!L61+ระนอง!L61+สงขลา!L61+สตูล!L61+สุราษฎร์ธานี!L61</f>
        <v>0</v>
      </c>
      <c r="M61" s="101"/>
      <c r="N61" s="91">
        <f ca="1">กระบี่!N61+ชุมพร!N61+ตรัง!N61+นครศรีธรรมราช!N61+นราธิวาส!N61+ปัตตานี!N61+พังงา!N61+พัทลุง!N61+ภูเก็ต!N61+ยะลา!N61+ระนอง!N61+สงขลา!N61+สตูล!N61+สุราษฎร์ธานี!N61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กระบี่!I64+ชุมพร!I64+ตรัง!I64+นครศรีธรรมราช!I64+นราธิวาส!I64+ปัตตานี!I64+พังงา!I64+พัทลุง!I64+ภูเก็ต!I64+ยะลา!I64+ระนอง!I64+สงขลา!I64+สตูล!I64+สุราษฎร์ธานี!I64</f>
        <v>4</v>
      </c>
      <c r="J64" s="146">
        <f ca="1">กระบี่!J64+ชุมพร!J64+ตรัง!J64+นครศรีธรรมราช!J64+นราธิวาส!J64+ปัตตานี!J64+พังงา!J64+พัทลุง!J64+ภูเก็ต!J64+ยะลา!J64+ระนอง!J64+สงขลา!J64+สตูล!J64+สุราษฎร์ธานี!J64</f>
        <v>4</v>
      </c>
      <c r="K64" s="147">
        <f t="shared" ref="K64:K65" ca="1" si="42">IF(I64&gt;0,J64*100/I64,0)</f>
        <v>100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กระบี่!I65+ชุมพร!I65+ตรัง!I65+นครศรีธรรมราช!I65+นราธิวาส!I65+ปัตตานี!I65+พังงา!I65+พัทลุง!I65+ภูเก็ต!I65+ยะลา!I65+ระนอง!I65+สงขลา!I65+สตูล!I65+สุราษฎร์ธานี!I65</f>
        <v>130</v>
      </c>
      <c r="J65" s="146">
        <f ca="1">กระบี่!J65+ชุมพร!J65+ตรัง!J65+นครศรีธรรมราช!J65+นราธิวาส!J65+ปัตตานี!J65+พังงา!J65+พัทลุง!J65+ภูเก็ต!J65+ยะลา!J65+ระนอง!J65+สงขลา!J65+สตูล!J65+สุราษฎร์ธานี!J65</f>
        <v>130</v>
      </c>
      <c r="K65" s="147">
        <f t="shared" ca="1" si="42"/>
        <v>100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2" t="s">
        <v>17</v>
      </c>
      <c r="E66" s="573"/>
      <c r="F66" s="573"/>
      <c r="G66" s="573"/>
      <c r="H66" s="153" t="s">
        <v>12</v>
      </c>
      <c r="I66" s="154"/>
      <c r="J66" s="154"/>
      <c r="K66" s="155"/>
      <c r="L66" s="156">
        <f ca="1">กระบี่!L66+ชุมพร!L66+ตรัง!L66+นครศรีธรรมราช!L66+นราธิวาส!L66+ปัตตานี!L66+พังงา!L66+พัทลุง!L66+ภูเก็ต!L66+ยะลา!L66+ระนอง!L66+สงขลา!L66+สตูล!L66+สุราษฎร์ธานี!L66</f>
        <v>2260540</v>
      </c>
      <c r="M66" s="156">
        <f ca="1">กระบี่!M66+ชุมพร!M66+ตรัง!M66+นครศรีธรรมราช!M66+นราธิวาส!M66+ปัตตานี!M66+พังงา!M66+พัทลุง!M66+ภูเก็ต!M66+ยะลา!M66+ระนอง!M66+สงขลา!M66+สตูล!M66+สุราษฎร์ธานี!M66</f>
        <v>2260540</v>
      </c>
      <c r="N66" s="156">
        <f ca="1">กระบี่!N66+ชุมพร!N66+ตรัง!N66+นครศรีธรรมราช!N66+นราธิวาส!N66+ปัตตานี!N66+พังงา!N66+พัทลุง!N66+ภูเก็ต!N66+ยะลา!N66+ระนอง!N66+สงขลา!N66+สตูล!N66+สุราษฎร์ธานี!N66</f>
        <v>1979106.77</v>
      </c>
      <c r="O66" s="155">
        <f t="shared" ref="O66:O68" ca="1" si="43">IF(L66&gt;0,N66*100/L66,0)</f>
        <v>87.550176948870629</v>
      </c>
      <c r="P66" s="155">
        <f t="shared" ref="P66:P68" ca="1" si="44">IF(M66&gt;0,N66*100/M66,0)</f>
        <v>87.550176948870629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>กระบี่!L67+ชุมพร!L67+ตรัง!L67+นครศรีธรรมราช!L67+นราธิวาส!L67+ปัตตานี!L67+พังงา!L67+พัทลุง!L67+ภูเก็ต!L67+ยะลา!L67+ระนอง!L67+สงขลา!L67+สตูล!L67+สุราษฎร์ธานี!L67</f>
        <v>0</v>
      </c>
      <c r="M67" s="161">
        <f>กระบี่!M67+ชุมพร!M67+ตรัง!M67+นครศรีธรรมราช!M67+นราธิวาส!M67+ปัตตานี!M67+พังงา!M67+พัทลุง!M67+ภูเก็ต!M67+ยะลา!M67+ระนอง!M67+สงขลา!M67+สตูล!M67+สุราษฎร์ธานี!M67</f>
        <v>0</v>
      </c>
      <c r="N67" s="161">
        <f>กระบี่!N67+ชุมพร!N67+ตรัง!N67+นครศรีธรรมราช!N67+นราธิวาส!N67+ปัตตานี!N67+พังงา!N67+พัทลุง!N67+ภูเก็ต!N67+ยะลา!N67+ระนอง!N67+สงขลา!N67+สตูล!N67+สุราษฎร์ธานี!N67</f>
        <v>0</v>
      </c>
      <c r="O67" s="160">
        <f t="shared" si="43"/>
        <v>0</v>
      </c>
      <c r="P67" s="160">
        <f t="shared" si="44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ca="1">กระบี่!L68+ชุมพร!L68+ตรัง!L68+นครศรีธรรมราช!L68+นราธิวาส!L68+ปัตตานี!L68+พังงา!L68+พัทลุง!L68+ภูเก็ต!L68+ยะลา!L68+ระนอง!L68+สงขลา!L68+สตูล!L68+สุราษฎร์ธานี!L68</f>
        <v>2260540</v>
      </c>
      <c r="M68" s="161">
        <f ca="1">กระบี่!M68+ชุมพร!M68+ตรัง!M68+นครศรีธรรมราช!M68+นราธิวาส!M68+ปัตตานี!M68+พังงา!M68+พัทลุง!M68+ภูเก็ต!M68+ยะลา!M68+ระนอง!M68+สงขลา!M68+สตูล!M68+สุราษฎร์ธานี!M68</f>
        <v>2260540</v>
      </c>
      <c r="N68" s="161">
        <f ca="1">กระบี่!N68+ชุมพร!N68+ตรัง!N68+นครศรีธรรมราช!N68+นราธิวาส!N68+ปัตตานี!N68+พังงา!N68+พัทลุง!N68+ภูเก็ต!N68+ยะลา!N68+ระนอง!N68+สงขลา!N68+สตูล!N68+สุราษฎร์ธานี!N68</f>
        <v>1979106.77</v>
      </c>
      <c r="O68" s="160">
        <f t="shared" ca="1" si="43"/>
        <v>87.550176948870629</v>
      </c>
      <c r="P68" s="160">
        <f t="shared" ca="1" si="44"/>
        <v>87.550176948870629</v>
      </c>
    </row>
    <row r="69" spans="1:16" ht="21.75" customHeight="1" x14ac:dyDescent="0.3">
      <c r="A69" s="162"/>
      <c r="B69" s="163"/>
      <c r="C69" s="163" t="s">
        <v>16</v>
      </c>
      <c r="D69" s="574" t="s">
        <v>20</v>
      </c>
      <c r="E69" s="575"/>
      <c r="F69" s="575"/>
      <c r="G69" s="164" t="s">
        <v>38</v>
      </c>
      <c r="H69" s="165" t="s">
        <v>12</v>
      </c>
      <c r="I69" s="166" t="s">
        <v>39</v>
      </c>
      <c r="J69" s="166"/>
      <c r="K69" s="167"/>
      <c r="L69" s="168">
        <f>กระบี่!L69+ชุมพร!L69+ตรัง!L69+นครศรีธรรมราช!L69+นราธิวาส!L69+ปัตตานี!L69+พังงา!L69+พัทลุง!L69+ภูเก็ต!L69+ยะลา!L69+ระนอง!L69+สงขลา!L69+สตูล!L69+สุราษฎร์ธานี!L69</f>
        <v>0</v>
      </c>
      <c r="M69" s="168">
        <f>กระบี่!M69+ชุมพร!M69+ตรัง!M69+นครศรีธรรมราช!M69+นราธิวาส!M69+ปัตตานี!M69+พังงา!M69+พัทลุง!M69+ภูเก็ต!M69+ยะลา!M69+ระนอง!M69+สงขลา!M69+สตูล!M69+สุราษฎร์ธานี!M69</f>
        <v>0</v>
      </c>
      <c r="N69" s="168">
        <f>กระบี่!N69+ชุมพร!N69+ตรัง!N69+นครศรีธรรมราช!N69+นราธิวาส!N69+ปัตตานี!N69+พังงา!N69+พัทลุง!N69+ภูเก็ต!N69+ยะลา!N69+ระนอง!N69+สงขลา!N69+สตูล!N69+สุราษฎร์ธานี!N69</f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กระบี่!L70+ชุมพร!L70+ตรัง!L70+นครศรีธรรมราช!L70+นราธิวาส!L70+ปัตตานี!L70+พังงา!L70+พัทลุง!L70+ภูเก็ต!L70+ยะลา!L70+ระนอง!L70+สงขลา!L70+สตูล!L70+สุราษฎร์ธานี!L70</f>
        <v>2260540</v>
      </c>
      <c r="M70" s="173">
        <f ca="1">กระบี่!M70+ชุมพร!M70+ตรัง!M70+นครศรีธรรมราช!M70+นราธิวาส!M70+ปัตตานี!M70+พังงา!M70+พัทลุง!M70+ภูเก็ต!M70+ยะลา!M70+ระนอง!M70+สงขลา!M70+สตูล!M70+สุราษฎร์ธานี!M70</f>
        <v>2260540</v>
      </c>
      <c r="N70" s="174">
        <f ca="1">กระบี่!N70+ชุมพร!N70+ตรัง!N70+นครศรีธรรมราช!N70+นราธิวาส!N70+ปัตตานี!N70+พังงา!N70+พัทลุง!N70+ภูเก็ต!N70+ยะลา!N70+ระนอง!N70+สงขลา!N70+สตูล!N70+สุราษฎร์ธานี!N70</f>
        <v>1979106.77</v>
      </c>
      <c r="O70" s="175">
        <f ca="1">IF(L70&gt;0,N70*100/L70,0)</f>
        <v>87.550176948870629</v>
      </c>
      <c r="P70" s="175">
        <f ca="1">IF(M70&gt;0,N70*100/M70,0)</f>
        <v>87.550176948870629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กระบี่!L71+ชุมพร!L71+ตรัง!L71+นครศรีธรรมราช!L71+นราธิวาส!L71+ปัตตานี!L71+พังงา!L71+พัทลุง!L71+ภูเก็ต!L71+ยะลา!L71+ระนอง!L71+สงขลา!L71+สตูล!L71+สุราษฎร์ธานี!L71</f>
        <v>689200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กระบี่!L72+ชุมพร!L72+ตรัง!L72+นครศรีธรรมราช!L72+นราธิวาส!L72+ปัตตานี!L72+พังงา!L72+พัทลุง!L72+ภูเก็ต!L72+ยะลา!L72+ระนอง!L72+สงขลา!L72+สตูล!L72+สุราษฎร์ธานี!L72</f>
        <v>1571340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6" t="s">
        <v>23</v>
      </c>
      <c r="E73" s="575"/>
      <c r="F73" s="89"/>
      <c r="G73" s="83" t="s">
        <v>18</v>
      </c>
      <c r="H73" s="178" t="s">
        <v>12</v>
      </c>
      <c r="I73" s="85"/>
      <c r="J73" s="85"/>
      <c r="K73" s="86"/>
      <c r="L73" s="93">
        <f>กระบี่!L73+ชุมพร!L73+ตรัง!L73+นครศรีธรรมราช!L73+นราธิวาส!L73+ปัตตานี!L73+พังงา!L73+พัทลุง!L73+ภูเก็ต!L73+ยะลา!L73+ระนอง!L73+สงขลา!L73+สตูล!L73+สุราษฎร์ธานี!L73</f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กระบี่!L74+ชุมพร!L74+ตรัง!L74+นครศรีธรรมราช!L74+นราธิวาส!L74+ปัตตานี!L74+พังงา!L74+พัทลุง!L74+ภูเก็ต!L74+ยะลา!L74+ระนอง!L74+สงขลา!L74+สตูล!L74+สุราษฎร์ธานี!L74</f>
        <v>0</v>
      </c>
      <c r="M74" s="101"/>
      <c r="N74" s="91">
        <f ca="1">กระบี่!N74+ชุมพร!N74+ตรัง!N74+นครศรีธรรมราช!N74+นราธิวาส!N74+ปัตตานี!N74+พังงา!N74+พัทลุง!N74+ภูเก็ต!N74+ยะลา!N74+ระนอง!N74+สงขลา!N74+สตูล!N74+สุราษฎร์ธานี!N74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กระบี่!J76+ชุมพร!J76+ตรัง!J76+นครศรีธรรมราช!J76+นราธิวาส!J76+ปัตตานี!J76+พังงา!J76+พัทลุง!J76+ภูเก็ต!J76+ยะลา!J76+ระนอง!J76+สงขลา!J76+สตูล!J76+สุราษฎร์ธานี!J76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กระบี่!J77+ชุมพร!J77+ตรัง!J77+นครศรีธรรมราช!J77+นราธิวาส!J77+ปัตตานี!J77+พังงา!J77+พัทลุง!J77+ภูเก็ต!J77+ยะลา!J77+ระนอง!J77+สงขลา!J77+สตูล!J77+สุราษฎร์ธานี!J77</f>
        <v>3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กระบี่!J78+ชุมพร!J78+ตรัง!J78+นครศรีธรรมราช!J78+นราธิวาส!J78+ปัตตานี!J78+พังงา!J78+พัทลุง!J78+ภูเก็ต!J78+ยะลา!J78+ระนอง!J78+สงขลา!J78+สตูล!J78+สุราษฎร์ธานี!J78</f>
        <v>3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กระบี่!J79+ชุมพร!J79+ตรัง!J79+นครศรีธรรมราช!J79+นราธิวาส!J79+ปัตตานี!J79+พังงา!J79+พัทลุง!J79+ภูเก็ต!J79+ยะลา!J79+ระนอง!J79+สงขลา!J79+สตูล!J79+สุราษฎร์ธานี!J79</f>
        <v>3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กระบี่!I80+ชุมพร!I80+ตรัง!I80+นครศรีธรรมราช!I80+นราธิวาส!I80+ปัตตานี!I80+พังงา!I80+พัทลุง!I80+ภูเก็ต!I80+ยะลา!I80+ระนอง!I80+สงขลา!I80+สตูล!I80+สุราษฎร์ธานี!I80</f>
        <v>4</v>
      </c>
      <c r="J80" s="207">
        <f ca="1">กระบี่!J80+ชุมพร!J80+ตรัง!J80+นครศรีธรรมราช!J80+นราธิวาส!J80+ปัตตานี!J80+พังงา!J80+พัทลุง!J80+ภูเก็ต!J80+ยะลา!J80+ระนอง!J80+สงขลา!J80+สตูล!J80+สุราษฎร์ธานี!J80</f>
        <v>4</v>
      </c>
      <c r="K80" s="208">
        <f t="shared" ref="K80:K88" ca="1" si="45">IF(I80&gt;0,J80*100/I80,0)</f>
        <v>100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กระบี่!I81+ชุมพร!I81+ตรัง!I81+นครศรีธรรมราช!I81+นราธิวาส!I81+ปัตตานี!I81+พังงา!I81+พัทลุง!I81+ภูเก็ต!I81+ยะลา!I81+ระนอง!I81+สงขลา!I81+สตูล!I81+สุราษฎร์ธานี!I81</f>
        <v>130</v>
      </c>
      <c r="J81" s="207">
        <f ca="1">กระบี่!J81+ชุมพร!J81+ตรัง!J81+นครศรีธรรมราช!J81+นราธิวาส!J81+ปัตตานี!J81+พังงา!J81+พัทลุง!J81+ภูเก็ต!J81+ยะลา!J81+ระนอง!J81+สงขลา!J81+สตูล!J81+สุราษฎร์ธานี!J81</f>
        <v>130</v>
      </c>
      <c r="K81" s="208">
        <f t="shared" ca="1" si="45"/>
        <v>100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กระบี่!I82+ชุมพร!I82+ตรัง!I82+นครศรีธรรมราช!I82+นราธิวาส!I82+ปัตตานี!I82+พังงา!I82+พัทลุง!I82+ภูเก็ต!I82+ยะลา!I82+ระนอง!I82+สงขลา!I82+สตูล!I82+สุราษฎร์ธานี!I82</f>
        <v>1</v>
      </c>
      <c r="J82" s="210">
        <f ca="1">กระบี่!J82+ชุมพร!J82+ตรัง!J82+นครศรีธรรมราช!J82+นราธิวาส!J82+ปัตตานี!J82+พังงา!J82+พัทลุง!J82+ภูเก็ต!J82+ยะลา!J82+ระนอง!J82+สงขลา!J82+สตูล!J82+สุราษฎร์ธานี!J82</f>
        <v>1</v>
      </c>
      <c r="K82" s="167">
        <f t="shared" ca="1" si="45"/>
        <v>100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กระบี่!I83+ชุมพร!I83+ตรัง!I83+นครศรีธรรมราช!I83+นราธิวาส!I83+ปัตตานี!I83+พังงา!I83+พัทลุง!I83+ภูเก็ต!I83+ยะลา!I83+ระนอง!I83+สงขลา!I83+สตูล!I83+สุราษฎร์ธานี!I83</f>
        <v>30</v>
      </c>
      <c r="J83" s="210">
        <f ca="1">กระบี่!J83+ชุมพร!J83+ตรัง!J83+นครศรีธรรมราช!J83+นราธิวาส!J83+ปัตตานี!J83+พังงา!J83+พัทลุง!J83+ภูเก็ต!J83+ยะลา!J83+ระนอง!J83+สงขลา!J83+สตูล!J83+สุราษฎร์ธานี!J83</f>
        <v>30</v>
      </c>
      <c r="K83" s="167">
        <f t="shared" ca="1" si="45"/>
        <v>100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กระบี่!I84+ชุมพร!I84+ตรัง!I84+นครศรีธรรมราช!I84+นราธิวาส!I84+ปัตตานี!I84+พังงา!I84+พัทลุง!I84+ภูเก็ต!I84+ยะลา!I84+ระนอง!I84+สงขลา!I84+สตูล!I84+สุราษฎร์ธานี!I84</f>
        <v>1</v>
      </c>
      <c r="J84" s="195">
        <f ca="1">กระบี่!J84+ชุมพร!J84+ตรัง!J84+นครศรีธรรมราช!J84+นราธิวาส!J84+ปัตตานี!J84+พังงา!J84+พัทลุง!J84+ภูเก็ต!J84+ยะลา!J84+ระนอง!J84+สงขลา!J84+สตูล!J84+สุราษฎร์ธานี!J84</f>
        <v>1</v>
      </c>
      <c r="K84" s="167">
        <f t="shared" ca="1" si="45"/>
        <v>100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กระบี่!I85+ชุมพร!I85+ตรัง!I85+นครศรีธรรมราช!I85+นราธิวาส!I85+ปัตตานี!I85+พังงา!I85+พัทลุง!I85+ภูเก็ต!I85+ยะลา!I85+ระนอง!I85+สงขลา!I85+สตูล!I85+สุราษฎร์ธานี!I85</f>
        <v>30</v>
      </c>
      <c r="J85" s="195">
        <f ca="1">กระบี่!J85+ชุมพร!J85+ตรัง!J85+นครศรีธรรมราช!J85+นราธิวาส!J85+ปัตตานี!J85+พังงา!J85+พัทลุง!J85+ภูเก็ต!J85+ยะลา!J85+ระนอง!J85+สงขลา!J85+สตูล!J85+สุราษฎร์ธานี!J85</f>
        <v>30</v>
      </c>
      <c r="K85" s="167">
        <f t="shared" ca="1" si="45"/>
        <v>100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กระบี่!I86+ชุมพร!I86+ตรัง!I86+นครศรีธรรมราช!I86+นราธิวาส!I86+ปัตตานี!I86+พังงา!I86+พัทลุง!I86+ภูเก็ต!I86+ยะลา!I86+ระนอง!I86+สงขลา!I86+สตูล!I86+สุราษฎร์ธานี!I86</f>
        <v>2</v>
      </c>
      <c r="J86" s="210">
        <f ca="1">กระบี่!J86+ชุมพร!J86+ตรัง!J86+นครศรีธรรมราช!J86+นราธิวาส!J86+ปัตตานี!J86+พังงา!J86+พัทลุง!J86+ภูเก็ต!J86+ยะลา!J86+ระนอง!J86+สงขลา!J86+สตูล!J86+สุราษฎร์ธานี!J86</f>
        <v>2</v>
      </c>
      <c r="K86" s="167">
        <f t="shared" ca="1" si="45"/>
        <v>100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กระบี่!I87+ชุมพร!I87+ตรัง!I87+นครศรีธรรมราช!I87+นราธิวาส!I87+ปัตตานี!I87+พังงา!I87+พัทลุง!I87+ภูเก็ต!I87+ยะลา!I87+ระนอง!I87+สงขลา!I87+สตูล!I87+สุราษฎร์ธานี!I87</f>
        <v>70</v>
      </c>
      <c r="J87" s="210">
        <f ca="1">กระบี่!J87+ชุมพร!J87+ตรัง!J87+นครศรีธรรมราช!J87+นราธิวาส!J87+ปัตตานี!J87+พังงา!J87+พัทลุง!J87+ภูเก็ต!J87+ยะลา!J87+ระนอง!J87+สงขลา!J87+สตูล!J87+สุราษฎร์ธานี!J87</f>
        <v>70</v>
      </c>
      <c r="K87" s="167">
        <f t="shared" ca="1" si="45"/>
        <v>100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กระบี่!I88+ชุมพร!I88+ตรัง!I88+นครศรีธรรมราช!I88+นราธิวาส!I88+ปัตตานี!I88+พังงา!I88+พัทลุง!I88+ภูเก็ต!I88+ยะลา!I88+ระนอง!I88+สงขลา!I88+สตูล!I88+สุราษฎร์ธานี!I88</f>
        <v>4</v>
      </c>
      <c r="J88" s="210">
        <f ca="1">กระบี่!J88+ชุมพร!J88+ตรัง!J88+นครศรีธรรมราช!J88+นราธิวาส!J88+ปัตตานี!J88+พังงา!J88+พัทลุง!J88+ภูเก็ต!J88+ยะลา!J88+ระนอง!J88+สงขลา!J88+สตูล!J88+สุราษฎร์ธานี!J88</f>
        <v>4</v>
      </c>
      <c r="K88" s="167">
        <f t="shared" ca="1" si="45"/>
        <v>100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กระบี่!J89+ชุมพร!J89+ตรัง!J89+นครศรีธรรมราช!J89+นราธิวาส!J89+ปัตตานี!J89+พังงา!J89+พัทลุง!J89+ภูเก็ต!J89+ยะลา!J89+ระนอง!J89+สงขลา!J89+สตูล!J89+สุราษฎร์ธานี!J89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กระบี่!J90+ชุมพร!J90+ตรัง!J90+นครศรีธรรมราช!J90+นราธิวาส!J90+ปัตตานี!J90+พังงา!J90+พัทลุง!J90+ภูเก็ต!J90+ยะลา!J90+ระนอง!J90+สงขลา!J90+สตูล!J90+สุราษฎร์ธานี!J90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กระบี่!I92+ชุมพร!I92+ตรัง!I92+นครศรีธรรมราช!I92+นราธิวาส!I92+ปัตตานี!I92+พังงา!I92+พัทลุง!I92+ภูเก็ต!I92+ยะลา!I92+ระนอง!I92+สงขลา!I92+สตูล!I92+สุราษฎร์ธานี!I92</f>
        <v>23</v>
      </c>
      <c r="J92" s="146">
        <f ca="1">กระบี่!J92+ชุมพร!J92+ตรัง!J92+นครศรีธรรมราช!J92+นราธิวาส!J92+ปัตตานี!J92+พังงา!J92+พัทลุง!J92+ภูเก็ต!J92+ยะลา!J92+ระนอง!J92+สงขลา!J92+สตูล!J92+สุราษฎร์ธานี!J92</f>
        <v>23</v>
      </c>
      <c r="K92" s="147">
        <f t="shared" ref="K92:K93" ca="1" si="46">IF(I92&gt;0,J92*100/I92,0)</f>
        <v>100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กระบี่!I93+ชุมพร!I93+ตรัง!I93+นครศรีธรรมราช!I93+นราธิวาส!I93+ปัตตานี!I93+พังงา!I93+พัทลุง!I93+ภูเก็ต!I93+ยะลา!I93+ระนอง!I93+สงขลา!I93+สตูล!I93+สุราษฎร์ธานี!I93</f>
        <v>6</v>
      </c>
      <c r="J93" s="146">
        <f ca="1">กระบี่!J93+ชุมพร!J93+ตรัง!J93+นครศรีธรรมราช!J93+นราธิวาส!J93+ปัตตานี!J93+พังงา!J93+พัทลุง!J93+ภูเก็ต!J93+ยะลา!J93+ระนอง!J93+สงขลา!J93+สตูล!J93+สุราษฎร์ธานี!J93</f>
        <v>6</v>
      </c>
      <c r="K93" s="147">
        <f t="shared" ca="1" si="46"/>
        <v>100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2" t="s">
        <v>17</v>
      </c>
      <c r="E94" s="573"/>
      <c r="F94" s="573"/>
      <c r="G94" s="573"/>
      <c r="H94" s="153" t="s">
        <v>12</v>
      </c>
      <c r="I94" s="166"/>
      <c r="J94" s="166"/>
      <c r="K94" s="167"/>
      <c r="L94" s="156">
        <f ca="1">กระบี่!L94+ชุมพร!L94+ตรัง!L94+นครศรีธรรมราช!L94+นราธิวาส!L94+ปัตตานี!L94+พังงา!L94+พัทลุง!L94+ภูเก็ต!L94+ยะลา!L94+ระนอง!L94+สงขลา!L94+สตูล!L94+สุราษฎร์ธานี!L94</f>
        <v>1177800</v>
      </c>
      <c r="M94" s="156">
        <f ca="1">กระบี่!M94+ชุมพร!M94+ตรัง!M94+นครศรีธรรมราช!M94+นราธิวาส!M94+ปัตตานี!M94+พังงา!M94+พัทลุง!M94+ภูเก็ต!M94+ยะลา!M94+ระนอง!M94+สงขลา!M94+สตูล!M94+สุราษฎร์ธานี!M94</f>
        <v>1137000</v>
      </c>
      <c r="N94" s="156">
        <f ca="1">กระบี่!N94+ชุมพร!N94+ตรัง!N94+นครศรีธรรมราช!N94+นราธิวาส!N94+ปัตตานี!N94+พังงา!N94+พัทลุง!N94+ภูเก็ต!N94+ยะลา!N94+ระนอง!N94+สงขลา!N94+สตูล!N94+สุราษฎร์ธานี!N94</f>
        <v>996976.04</v>
      </c>
      <c r="O94" s="155">
        <f t="shared" ref="O94:O96" ca="1" si="47">IF(L94&gt;0,N94*100/L94,0)</f>
        <v>84.647311937510608</v>
      </c>
      <c r="P94" s="155">
        <f t="shared" ref="P94:P96" ca="1" si="48">IF(M94&gt;0,N94*100/M94,0)</f>
        <v>87.684788038698329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>กระบี่!L95+ชุมพร!L95+ตรัง!L95+นครศรีธรรมราช!L95+นราธิวาส!L95+ปัตตานี!L95+พังงา!L95+พัทลุง!L95+ภูเก็ต!L95+ยะลา!L95+ระนอง!L95+สงขลา!L95+สตูล!L95+สุราษฎร์ธานี!L95</f>
        <v>0</v>
      </c>
      <c r="M95" s="161">
        <f>กระบี่!M95+ชุมพร!M95+ตรัง!M95+นครศรีธรรมราช!M95+นราธิวาส!M95+ปัตตานี!M95+พังงา!M95+พัทลุง!M95+ภูเก็ต!M95+ยะลา!M95+ระนอง!M95+สงขลา!M95+สตูล!M95+สุราษฎร์ธานี!M95</f>
        <v>0</v>
      </c>
      <c r="N95" s="161">
        <f>กระบี่!N95+ชุมพร!N95+ตรัง!N95+นครศรีธรรมราช!N95+นราธิวาส!N95+ปัตตานี!N95+พังงา!N95+พัทลุง!N95+ภูเก็ต!N95+ยะลา!N95+ระนอง!N95+สงขลา!N95+สตูล!N95+สุราษฎร์ธานี!N95</f>
        <v>0</v>
      </c>
      <c r="O95" s="160">
        <f t="shared" si="47"/>
        <v>0</v>
      </c>
      <c r="P95" s="160">
        <f t="shared" si="48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ca="1">กระบี่!L96+ชุมพร!L96+ตรัง!L96+นครศรีธรรมราช!L96+นราธิวาส!L96+ปัตตานี!L96+พังงา!L96+พัทลุง!L96+ภูเก็ต!L96+ยะลา!L96+ระนอง!L96+สงขลา!L96+สตูล!L96+สุราษฎร์ธานี!L96</f>
        <v>1177800</v>
      </c>
      <c r="M96" s="161">
        <f ca="1">กระบี่!M96+ชุมพร!M96+ตรัง!M96+นครศรีธรรมราช!M96+นราธิวาส!M96+ปัตตานี!M96+พังงา!M96+พัทลุง!M96+ภูเก็ต!M96+ยะลา!M96+ระนอง!M96+สงขลา!M96+สตูล!M96+สุราษฎร์ธานี!M96</f>
        <v>1137000</v>
      </c>
      <c r="N96" s="161">
        <f ca="1">กระบี่!N96+ชุมพร!N96+ตรัง!N96+นครศรีธรรมราช!N96+นราธิวาส!N96+ปัตตานี!N96+พังงา!N96+พัทลุง!N96+ภูเก็ต!N96+ยะลา!N96+ระนอง!N96+สงขลา!N96+สตูล!N96+สุราษฎร์ธานี!N96</f>
        <v>996976.04</v>
      </c>
      <c r="O96" s="160">
        <f t="shared" ca="1" si="47"/>
        <v>84.647311937510608</v>
      </c>
      <c r="P96" s="160">
        <f t="shared" ca="1" si="48"/>
        <v>87.684788038698329</v>
      </c>
    </row>
    <row r="97" spans="1:16" ht="21.75" customHeight="1" x14ac:dyDescent="0.3">
      <c r="A97" s="162"/>
      <c r="B97" s="163"/>
      <c r="C97" s="163" t="s">
        <v>16</v>
      </c>
      <c r="D97" s="574" t="s">
        <v>20</v>
      </c>
      <c r="E97" s="575"/>
      <c r="F97" s="575"/>
      <c r="G97" s="164" t="s">
        <v>38</v>
      </c>
      <c r="H97" s="165" t="s">
        <v>12</v>
      </c>
      <c r="I97" s="166" t="s">
        <v>39</v>
      </c>
      <c r="J97" s="166"/>
      <c r="K97" s="167"/>
      <c r="L97" s="168">
        <f>กระบี่!L97+ชุมพร!L97+ตรัง!L97+นครศรีธรรมราช!L97+นราธิวาส!L97+ปัตตานี!L97+พังงา!L97+พัทลุง!L97+ภูเก็ต!L97+ยะลา!L97+ระนอง!L97+สงขลา!L97+สตูล!L97+สุราษฎร์ธานี!L97</f>
        <v>0</v>
      </c>
      <c r="M97" s="168">
        <f>กระบี่!M97+ชุมพร!M97+ตรัง!M97+นครศรีธรรมราช!M97+นราธิวาส!M97+ปัตตานี!M97+พังงา!M97+พัทลุง!M97+ภูเก็ต!M97+ยะลา!M97+ระนอง!M97+สงขลา!M97+สตูล!M97+สุราษฎร์ธานี!M97</f>
        <v>0</v>
      </c>
      <c r="N97" s="168">
        <f>กระบี่!N97+ชุมพร!N97+ตรัง!N97+นครศรีธรรมราช!N97+นราธิวาส!N97+ปัตตานี!N97+พังงา!N97+พัทลุง!N97+ภูเก็ต!N97+ยะลา!N97+ระนอง!N97+สงขลา!N97+สตูล!N97+สุราษฎร์ธานี!N97</f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กระบี่!L98+ชุมพร!L98+ตรัง!L98+นครศรีธรรมราช!L98+นราธิวาส!L98+ปัตตานี!L98+พังงา!L98+พัทลุง!L98+ภูเก็ต!L98+ยะลา!L98+ระนอง!L98+สงขลา!L98+สตูล!L98+สุราษฎร์ธานี!L98</f>
        <v>623400</v>
      </c>
      <c r="M98" s="173">
        <f ca="1">กระบี่!M98+ชุมพร!M98+ตรัง!M98+นครศรีธรรมราช!M98+นราธิวาส!M98+ปัตตานี!M98+พังงา!M98+พัทลุง!M98+ภูเก็ต!M98+ยะลา!M98+ระนอง!M98+สงขลา!M98+สตูล!M98+สุราษฎร์ธานี!M98</f>
        <v>582600</v>
      </c>
      <c r="N98" s="174">
        <f ca="1">กระบี่!N98+ชุมพร!N98+ตรัง!N98+นครศรีธรรมราช!N98+นราธิวาส!N98+ปัตตานี!N98+พังงา!N98+พัทลุง!N98+ภูเก็ต!N98+ยะลา!N98+ระนอง!N98+สงขลา!N98+สตูล!N98+สุราษฎร์ธานี!N98</f>
        <v>442576.04</v>
      </c>
      <c r="O98" s="175">
        <f ca="1">IF(L98&gt;0,N98*100/L98,0)</f>
        <v>70.993910811677893</v>
      </c>
      <c r="P98" s="175">
        <f ca="1">IF(M98&gt;0,N98*100/M98,0)</f>
        <v>75.965677995193957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กระบี่!L99+ชุมพร!L99+ตรัง!L99+นครศรีธรรมราช!L99+นราธิวาส!L99+ปัตตานี!L99+พังงา!L99+พัทลุง!L99+ภูเก็ต!L99+ยะลา!L99+ระนอง!L99+สงขลา!L99+สตูล!L99+สุราษฎร์ธานี!L99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กระบี่!L100+ชุมพร!L100+ตรัง!L100+นครศรีธรรมราช!L100+นราธิวาส!L100+ปัตตานี!L100+พังงา!L100+พัทลุง!L100+ภูเก็ต!L100+ยะลา!L100+ระนอง!L100+สงขลา!L100+สตูล!L100+สุราษฎร์ธานี!L100</f>
        <v>623400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6" t="s">
        <v>23</v>
      </c>
      <c r="E101" s="575"/>
      <c r="F101" s="89"/>
      <c r="G101" s="83" t="s">
        <v>18</v>
      </c>
      <c r="H101" s="178" t="s">
        <v>12</v>
      </c>
      <c r="I101" s="194"/>
      <c r="J101" s="194"/>
      <c r="K101" s="230"/>
      <c r="L101" s="93">
        <f>กระบี่!L101+ชุมพร!L101+ตรัง!L101+นครศรีธรรมราช!L101+นราธิวาส!L101+ปัตตานี!L101+พังงา!L101+พัทลุง!L101+ภูเก็ต!L101+ยะลา!L101+ระนอง!L101+สงขลา!L101+สตูล!L101+สุราษฎร์ธานี!L101</f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กระบี่!L102+ชุมพร!L102+ตรัง!L102+นครศรีธรรมราช!L102+นราธิวาส!L102+ปัตตานี!L102+พังงา!L102+พัทลุง!L102+ภูเก็ต!L102+ยะลา!L102+ระนอง!L102+สงขลา!L102+สตูล!L102+สุราษฎร์ธานี!L102</f>
        <v>554400</v>
      </c>
      <c r="M102" s="101">
        <f ca="1">กระบี่!M102+ชุมพร!M102+ตรัง!M102+นครศรีธรรมราช!M102+นราธิวาส!M102+ปัตตานี!M102+พังงา!M102+พัทลุง!M102+ภูเก็ต!M102+ยะลา!M102+ระนอง!M102+สงขลา!M102+สตูล!M102+สุราษฎร์ธานี!M102</f>
        <v>554400</v>
      </c>
      <c r="N102" s="91">
        <f ca="1">กระบี่!N102+ชุมพร!N102+ตรัง!N102+นครศรีธรรมราช!N102+นราธิวาส!N102+ปัตตานี!N102+พังงา!N102+พัทลุง!N102+ภูเก็ต!N102+ยะลา!N102+ระนอง!N102+สงขลา!N102+สตูล!N102+สุราษฎร์ธานี!N102</f>
        <v>554400</v>
      </c>
      <c r="O102" s="101">
        <f ca="1">IF(L102&gt;0,N102*100/L102,0)</f>
        <v>100</v>
      </c>
      <c r="P102" s="101">
        <f ca="1">IF(M102&gt;0,N102*100/M102,0)</f>
        <v>100</v>
      </c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กระบี่!J104+ชุมพร!J104+ตรัง!J104+นครศรีธรรมราช!J104+นราธิวาส!J104+ปัตตานี!J104+พังงา!J104+พัทลุง!J104+ภูเก็ต!J104+ยะลา!J104+ระนอง!J104+สงขลา!J104+สตูล!J104+สุราษฎร์ธานี!J104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กระบี่!J105+ชุมพร!J105+ตรัง!J105+นครศรีธรรมราช!J105+นราธิวาส!J105+ปัตตานี!J105+พังงา!J105+พัทลุง!J105+ภูเก็ต!J105+ยะลา!J105+ระนอง!J105+สงขลา!J105+สตูล!J105+สุราษฎร์ธานี!J105</f>
        <v>5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กระบี่!J106+ชุมพร!J106+ตรัง!J106+นครศรีธรรมราช!J106+นราธิวาส!J106+ปัตตานี!J106+พังงา!J106+พัทลุง!J106+ภูเก็ต!J106+ยะลา!J106+ระนอง!J106+สงขลา!J106+สตูล!J106+สุราษฎร์ธานี!J106</f>
        <v>5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กระบี่!J107+ชุมพร!J107+ตรัง!J107+นครศรีธรรมราช!J107+นราธิวาส!J107+ปัตตานี!J107+พังงา!J107+พัทลุง!J107+ภูเก็ต!J107+ยะลา!J107+ระนอง!J107+สงขลา!J107+สตูล!J107+สุราษฎร์ธานี!J107</f>
        <v>5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กระบี่!I108+ชุมพร!I108+ตรัง!I108+นครศรีธรรมราช!I108+นราธิวาส!I108+ปัตตานี!I108+พังงา!I108+พัทลุง!I108+ภูเก็ต!I108+ยะลา!I108+ระนอง!I108+สงขลา!I108+สตูล!I108+สุราษฎร์ธานี!I108</f>
        <v>5</v>
      </c>
      <c r="J108" s="210">
        <f ca="1">กระบี่!J108+ชุมพร!J108+ตรัง!J108+นครศรีธรรมราช!J108+นราธิวาส!J108+ปัตตานี!J108+พังงา!J108+พัทลุง!J108+ภูเก็ต!J108+ยะลา!J108+ระนอง!J108+สงขลา!J108+สตูล!J108+สุราษฎร์ธานี!J108</f>
        <v>5</v>
      </c>
      <c r="K108" s="230">
        <f t="shared" ref="K108:K113" ca="1" si="49">IF(I108&gt;0,J108*100/I108,0)</f>
        <v>100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กระบี่!I109+ชุมพร!I109+ตรัง!I109+นครศรีธรรมราช!I109+นราธิวาส!I109+ปัตตานี!I109+พังงา!I109+พัทลุง!I109+ภูเก็ต!I109+ยะลา!I109+ระนอง!I109+สงขลา!I109+สตูล!I109+สุราษฎร์ธานี!I109</f>
        <v>23</v>
      </c>
      <c r="J109" s="210">
        <f ca="1">กระบี่!J109+ชุมพร!J109+ตรัง!J109+นครศรีธรรมราช!J109+นราธิวาส!J109+ปัตตานี!J109+พังงา!J109+พัทลุง!J109+ภูเก็ต!J109+ยะลา!J109+ระนอง!J109+สงขลา!J109+สตูล!J109+สุราษฎร์ธานี!J109</f>
        <v>23</v>
      </c>
      <c r="K109" s="230">
        <f t="shared" ca="1" si="49"/>
        <v>100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กระบี่!I110+ชุมพร!I110+ตรัง!I110+นครศรีธรรมราช!I110+นราธิวาส!I110+ปัตตานี!I110+พังงา!I110+พัทลุง!I110+ภูเก็ต!I110+ยะลา!I110+ระนอง!I110+สงขลา!I110+สตูล!I110+สุราษฎร์ธานี!I110</f>
        <v>23</v>
      </c>
      <c r="J110" s="210">
        <f ca="1">กระบี่!J110+ชุมพร!J110+ตรัง!J110+นครศรีธรรมราช!J110+นราธิวาส!J110+ปัตตานี!J110+พังงา!J110+พัทลุง!J110+ภูเก็ต!J110+ยะลา!J110+ระนอง!J110+สงขลา!J110+สตูล!J110+สุราษฎร์ธานี!J110</f>
        <v>23</v>
      </c>
      <c r="K110" s="230">
        <f t="shared" ca="1" si="49"/>
        <v>100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กระบี่!I111+ชุมพร!I111+ตรัง!I111+นครศรีธรรมราช!I111+นราธิวาส!I111+ปัตตานี!I111+พังงา!I111+พัทลุง!I111+ภูเก็ต!I111+ยะลา!I111+ระนอง!I111+สงขลา!I111+สตูล!I111+สุราษฎร์ธานี!I111</f>
        <v>23</v>
      </c>
      <c r="J111" s="210">
        <f ca="1">กระบี่!J111+ชุมพร!J111+ตรัง!J111+นครศรีธรรมราช!J111+นราธิวาส!J111+ปัตตานี!J111+พังงา!J111+พัทลุง!J111+ภูเก็ต!J111+ยะลา!J111+ระนอง!J111+สงขลา!J111+สตูล!J111+สุราษฎร์ธานี!J111</f>
        <v>23</v>
      </c>
      <c r="K111" s="230">
        <f t="shared" ca="1" si="49"/>
        <v>100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กระบี่!I112+ชุมพร!I112+ตรัง!I112+นครศรีธรรมราช!I112+นราธิวาส!I112+ปัตตานี!I112+พังงา!I112+พัทลุง!I112+ภูเก็ต!I112+ยะลา!I112+ระนอง!I112+สงขลา!I112+สตูล!I112+สุราษฎร์ธานี!I112</f>
        <v>23</v>
      </c>
      <c r="J112" s="210">
        <f ca="1">กระบี่!J112+ชุมพร!J112+ตรัง!J112+นครศรีธรรมราช!J112+นราธิวาส!J112+ปัตตานี!J112+พังงา!J112+พัทลุง!J112+ภูเก็ต!J112+ยะลา!J112+ระนอง!J112+สงขลา!J112+สตูล!J112+สุราษฎร์ธานี!J112</f>
        <v>23</v>
      </c>
      <c r="K112" s="230">
        <f t="shared" ca="1" si="49"/>
        <v>100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กระบี่!I113+ชุมพร!I113+ตรัง!I113+นครศรีธรรมราช!I113+นราธิวาส!I113+ปัตตานี!I113+พังงา!I113+พัทลุง!I113+ภูเก็ต!I113+ยะลา!I113+ระนอง!I113+สงขลา!I113+สตูล!I113+สุราษฎร์ธานี!I113</f>
        <v>6</v>
      </c>
      <c r="J113" s="210">
        <f ca="1">กระบี่!J113+ชุมพร!J113+ตรัง!J113+นครศรีธรรมราช!J113+นราธิวาส!J113+ปัตตานี!J113+พังงา!J113+พัทลุง!J113+ภูเก็ต!J113+ยะลา!J113+ระนอง!J113+สงขลา!J113+สตูล!J113+สุราษฎร์ธานี!J113</f>
        <v>6</v>
      </c>
      <c r="K113" s="230">
        <f t="shared" ca="1" si="49"/>
        <v>100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กระบี่!J114+ชุมพร!J114+ตรัง!J114+นครศรีธรรมราช!J114+นราธิวาส!J114+ปัตตานี!J114+พังงา!J114+พัทลุง!J114+ภูเก็ต!J114+ยะลา!J114+ระนอง!J114+สงขลา!J114+สตูล!J114+สุราษฎร์ธานี!J114</f>
        <v>1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กระบี่!J115+ชุมพร!J115+ตรัง!J115+นครศรีธรรมราช!J115+นราธิวาส!J115+ปัตตานี!J115+พังงา!J115+พัทลุง!J115+ภูเก็ต!J115+ยะลา!J115+ระนอง!J115+สงขลา!J115+สตูล!J115+สุราษฎร์ธานี!J115</f>
        <v>1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กระบี่!I117+ชุมพร!I117+ตรัง!I117+นครศรีธรรมราช!I117+นราธิวาส!I117+ปัตตานี!I117+พังงา!I117+พัทลุง!I117+ภูเก็ต!I117+ยะลา!I117+ระนอง!I117+สงขลา!I117+สตูล!I117+สุราษฎร์ธานี!I117</f>
        <v>75</v>
      </c>
      <c r="J117" s="146">
        <f ca="1">กระบี่!J117+ชุมพร!J117+ตรัง!J117+นครศรีธรรมราช!J117+นราธิวาส!J117+ปัตตานี!J117+พังงา!J117+พัทลุง!J117+ภูเก็ต!J117+ยะลา!J117+ระนอง!J117+สงขลา!J117+สตูล!J117+สุราษฎร์ธานี!J117</f>
        <v>75</v>
      </c>
      <c r="K117" s="147">
        <f ca="1">IF(I117&gt;0,J117*100/I117,0)</f>
        <v>100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2" t="s">
        <v>17</v>
      </c>
      <c r="E118" s="573"/>
      <c r="F118" s="573"/>
      <c r="G118" s="573"/>
      <c r="H118" s="153" t="s">
        <v>12</v>
      </c>
      <c r="I118" s="166"/>
      <c r="J118" s="166"/>
      <c r="K118" s="167"/>
      <c r="L118" s="156">
        <f ca="1">กระบี่!L118+ชุมพร!L118+ตรัง!L118+นครศรีธรรมราช!L118+นราธิวาส!L118+ปัตตานี!L118+พังงา!L118+พัทลุง!L118+ภูเก็ต!L118+ยะลา!L118+ระนอง!L118+สงขลา!L118+สตูล!L118+สุราษฎร์ธานี!L118</f>
        <v>407018</v>
      </c>
      <c r="M118" s="156">
        <f ca="1">กระบี่!M118+ชุมพร!M118+ตรัง!M118+นครศรีธรรมราช!M118+นราธิวาส!M118+ปัตตานี!M118+พังงา!M118+พัทลุง!M118+ภูเก็ต!M118+ยะลา!M118+ระนอง!M118+สงขลา!M118+สตูล!M118+สุราษฎร์ธานี!M118</f>
        <v>422018</v>
      </c>
      <c r="N118" s="156">
        <f ca="1">กระบี่!N118+ชุมพร!N118+ตรัง!N118+นครศรีธรรมราช!N118+นราธิวาส!N118+ปัตตานี!N118+พังงา!N118+พัทลุง!N118+ภูเก็ต!N118+ยะลา!N118+ระนอง!N118+สงขลา!N118+สตูล!N118+สุราษฎร์ธานี!N118</f>
        <v>356984.17000000004</v>
      </c>
      <c r="O118" s="155">
        <f t="shared" ref="O118:O120" ca="1" si="50">IF(L118&gt;0,N118*100/L118,0)</f>
        <v>87.707219336736969</v>
      </c>
      <c r="P118" s="155">
        <f t="shared" ref="P118:P120" ca="1" si="51">IF(M118&gt;0,N118*100/M118,0)</f>
        <v>84.589797117658506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>กระบี่!L119+ชุมพร!L119+ตรัง!L119+นครศรีธรรมราช!L119+นราธิวาส!L119+ปัตตานี!L119+พังงา!L119+พัทลุง!L119+ภูเก็ต!L119+ยะลา!L119+ระนอง!L119+สงขลา!L119+สตูล!L119+สุราษฎร์ธานี!L119</f>
        <v>0</v>
      </c>
      <c r="M119" s="161">
        <f>กระบี่!M119+ชุมพร!M119+ตรัง!M119+นครศรีธรรมราช!M119+นราธิวาส!M119+ปัตตานี!M119+พังงา!M119+พัทลุง!M119+ภูเก็ต!M119+ยะลา!M119+ระนอง!M119+สงขลา!M119+สตูล!M119+สุราษฎร์ธานี!M119</f>
        <v>0</v>
      </c>
      <c r="N119" s="161">
        <f>กระบี่!N119+ชุมพร!N119+ตรัง!N119+นครศรีธรรมราช!N119+นราธิวาส!N119+ปัตตานี!N119+พังงา!N119+พัทลุง!N119+ภูเก็ต!N119+ยะลา!N119+ระนอง!N119+สงขลา!N119+สตูล!N119+สุราษฎร์ธานี!N119</f>
        <v>0</v>
      </c>
      <c r="O119" s="160">
        <f t="shared" si="50"/>
        <v>0</v>
      </c>
      <c r="P119" s="160">
        <f t="shared" si="51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ca="1">กระบี่!L120+ชุมพร!L120+ตรัง!L120+นครศรีธรรมราช!L120+นราธิวาส!L120+ปัตตานี!L120+พังงา!L120+พัทลุง!L120+ภูเก็ต!L120+ยะลา!L120+ระนอง!L120+สงขลา!L120+สตูล!L120+สุราษฎร์ธานี!L120</f>
        <v>407018</v>
      </c>
      <c r="M120" s="161">
        <f ca="1">กระบี่!M120+ชุมพร!M120+ตรัง!M120+นครศรีธรรมราช!M120+นราธิวาส!M120+ปัตตานี!M120+พังงา!M120+พัทลุง!M120+ภูเก็ต!M120+ยะลา!M120+ระนอง!M120+สงขลา!M120+สตูล!M120+สุราษฎร์ธานี!M120</f>
        <v>422018</v>
      </c>
      <c r="N120" s="161">
        <f ca="1">กระบี่!N120+ชุมพร!N120+ตรัง!N120+นครศรีธรรมราช!N120+นราธิวาส!N120+ปัตตานี!N120+พังงา!N120+พัทลุง!N120+ภูเก็ต!N120+ยะลา!N120+ระนอง!N120+สงขลา!N120+สตูล!N120+สุราษฎร์ธานี!N120</f>
        <v>356984.17000000004</v>
      </c>
      <c r="O120" s="160">
        <f t="shared" ca="1" si="50"/>
        <v>87.707219336736969</v>
      </c>
      <c r="P120" s="160">
        <f t="shared" ca="1" si="51"/>
        <v>84.589797117658506</v>
      </c>
    </row>
    <row r="121" spans="1:16" ht="21.75" customHeight="1" x14ac:dyDescent="0.3">
      <c r="A121" s="162"/>
      <c r="B121" s="163"/>
      <c r="C121" s="163" t="s">
        <v>16</v>
      </c>
      <c r="D121" s="574" t="s">
        <v>20</v>
      </c>
      <c r="E121" s="575"/>
      <c r="F121" s="575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f>กระบี่!L121+ชุมพร!L121+ตรัง!L121+นครศรีธรรมราช!L121+นราธิวาส!L121+ปัตตานี!L121+พังงา!L121+พัทลุง!L121+ภูเก็ต!L121+ยะลา!L121+ระนอง!L121+สงขลา!L121+สตูล!L121+สุราษฎร์ธานี!L121</f>
        <v>0</v>
      </c>
      <c r="M121" s="168">
        <f>กระบี่!M121+ชุมพร!M121+ตรัง!M121+นครศรีธรรมราช!M121+นราธิวาส!M121+ปัตตานี!M121+พังงา!M121+พัทลุง!M121+ภูเก็ต!M121+ยะลา!M121+ระนอง!M121+สงขลา!M121+สตูล!M121+สุราษฎร์ธานี!M121</f>
        <v>0</v>
      </c>
      <c r="N121" s="168">
        <f>กระบี่!N121+ชุมพร!N121+ตรัง!N121+นครศรีธรรมราช!N121+นราธิวาส!N121+ปัตตานี!N121+พังงา!N121+พัทลุง!N121+ภูเก็ต!N121+ยะลา!N121+ระนอง!N121+สงขลา!N121+สตูล!N121+สุราษฎร์ธานี!N121</f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กระบี่!L122+ชุมพร!L122+ตรัง!L122+นครศรีธรรมราช!L122+นราธิวาส!L122+ปัตตานี!L122+พังงา!L122+พัทลุง!L122+ภูเก็ต!L122+ยะลา!L122+ระนอง!L122+สงขลา!L122+สตูล!L122+สุราษฎร์ธานี!L122</f>
        <v>407018</v>
      </c>
      <c r="M122" s="173">
        <f ca="1">กระบี่!M122+ชุมพร!M122+ตรัง!M122+นครศรีธรรมราช!M122+นราธิวาส!M122+ปัตตานี!M122+พังงา!M122+พัทลุง!M122+ภูเก็ต!M122+ยะลา!M122+ระนอง!M122+สงขลา!M122+สตูล!M122+สุราษฎร์ธานี!M122</f>
        <v>422018</v>
      </c>
      <c r="N122" s="174">
        <f ca="1">กระบี่!N122+ชุมพร!N122+ตรัง!N122+นครศรีธรรมราช!N122+นราธิวาส!N122+ปัตตานี!N122+พังงา!N122+พัทลุง!N122+ภูเก็ต!N122+ยะลา!N122+ระนอง!N122+สงขลา!N122+สตูล!N122+สุราษฎร์ธานี!N122</f>
        <v>356984.17000000004</v>
      </c>
      <c r="O122" s="175">
        <f ca="1">IF(L122&gt;0,N122*100/L122,0)</f>
        <v>87.707219336736969</v>
      </c>
      <c r="P122" s="175">
        <f ca="1">IF(M122&gt;0,N122*100/M122,0)</f>
        <v>84.589797117658506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กระบี่!L123+ชุมพร!L123+ตรัง!L123+นครศรีธรรมราช!L123+นราธิวาส!L123+ปัตตานี!L123+พังงา!L123+พัทลุง!L123+ภูเก็ต!L123+ยะลา!L123+ระนอง!L123+สงขลา!L123+สตูล!L123+สุราษฎร์ธานี!L123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กระบี่!L124+ชุมพร!L124+ตรัง!L124+นครศรีธรรมราช!L124+นราธิวาส!L124+ปัตตานี!L124+พังงา!L124+พัทลุง!L124+ภูเก็ต!L124+ยะลา!L124+ระนอง!L124+สงขลา!L124+สตูล!L124+สุราษฎร์ธานี!L124</f>
        <v>407018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6" t="s">
        <v>23</v>
      </c>
      <c r="E125" s="575"/>
      <c r="F125" s="89"/>
      <c r="G125" s="83" t="s">
        <v>18</v>
      </c>
      <c r="H125" s="178" t="s">
        <v>12</v>
      </c>
      <c r="I125" s="194"/>
      <c r="J125" s="194"/>
      <c r="K125" s="230"/>
      <c r="L125" s="93">
        <f>กระบี่!L125+ชุมพร!L125+ตรัง!L125+นครศรีธรรมราช!L125+นราธิวาส!L125+ปัตตานี!L125+พังงา!L125+พัทลุง!L125+ภูเก็ต!L125+ยะลา!L125+ระนอง!L125+สงขลา!L125+สตูล!L125+สุราษฎร์ธานี!L125</f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กระบี่!L126+ชุมพร!L126+ตรัง!L126+นครศรีธรรมราช!L126+นราธิวาส!L126+ปัตตานี!L126+พังงา!L126+พัทลุง!L126+ภูเก็ต!L126+ยะลา!L126+ระนอง!L126+สงขลา!L126+สตูล!L126+สุราษฎร์ธานี!L126</f>
        <v>0</v>
      </c>
      <c r="M126" s="101"/>
      <c r="N126" s="91">
        <f ca="1">กระบี่!N126+ชุมพร!N126+ตรัง!N126+นครศรีธรรมราช!N126+นราธิวาส!N126+ปัตตานี!N126+พังงา!N126+พัทลุง!N126+ภูเก็ต!N126+ยะลา!N126+ระนอง!N126+สงขลา!N126+สตูล!N126+สุราษฎร์ธานี!N126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68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กระบี่!J128+ชุมพร!J128+ตรัง!J128+นครศรีธรรมราช!J128+นราธิวาส!J128+ปัตตานี!J128+พังงา!J128+พัทลุง!J128+ภูเก็ต!J128+ยะลา!J128+ระนอง!J128+สงขลา!J128+สตูล!J128+สุราษฎร์ธานี!J128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กระบี่!J129+ชุมพร!J129+ตรัง!J129+นครศรีธรรมราช!J129+นราธิวาส!J129+ปัตตานี!J129+พังงา!J129+พัทลุง!J129+ภูเก็ต!J129+ยะลา!J129+ระนอง!J129+สงขลา!J129+สตูล!J129+สุราษฎร์ธานี!J129</f>
        <v>5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กระบี่!J130+ชุมพร!J130+ตรัง!J130+นครศรีธรรมราช!J130+นราธิวาส!J130+ปัตตานี!J130+พังงา!J130+พัทลุง!J130+ภูเก็ต!J130+ยะลา!J130+ระนอง!J130+สงขลา!J130+สตูล!J130+สุราษฎร์ธานี!J130</f>
        <v>5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กระบี่!J131+ชุมพร!J131+ตรัง!J131+นครศรีธรรมราช!J131+นราธิวาส!J131+ปัตตานี!J131+พังงา!J131+พัทลุง!J131+ภูเก็ต!J131+ยะลา!J131+ระนอง!J131+สงขลา!J131+สตูล!J131+สุราษฎร์ธานี!J131</f>
        <v>5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กระบี่!I132+ชุมพร!I132+ตรัง!I132+นครศรีธรรมราช!I132+นราธิวาส!I132+ปัตตานี!I132+พังงา!I132+พัทลุง!I132+ภูเก็ต!I132+ยะลา!I132+ระนอง!I132+สงขลา!I132+สตูล!I132+สุราษฎร์ธานี!I132</f>
        <v>75</v>
      </c>
      <c r="J132" s="210">
        <f ca="1">กระบี่!J132+ชุมพร!J132+ตรัง!J132+นครศรีธรรมราช!J132+นราธิวาส!J132+ปัตตานี!J132+พังงา!J132+พัทลุง!J132+ภูเก็ต!J132+ยะลา!J132+ระนอง!J132+สงขลา!J132+สตูล!J132+สุราษฎร์ธานี!J132</f>
        <v>75</v>
      </c>
      <c r="K132" s="230">
        <f t="shared" ref="K132:K133" ca="1" si="52">IF(I132&gt;0,J132*100/I132,0)</f>
        <v>100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กระบี่!I133+ชุมพร!I133+ตรัง!I133+นครศรีธรรมราช!I133+นราธิวาส!I133+ปัตตานี!I133+พังงา!I133+พัทลุง!I133+ภูเก็ต!I133+ยะลา!I133+ระนอง!I133+สงขลา!I133+สตูล!I133+สุราษฎร์ธานี!I133</f>
        <v>75</v>
      </c>
      <c r="J133" s="210">
        <f ca="1">กระบี่!J133+ชุมพร!J133+ตรัง!J133+นครศรีธรรมราช!J133+นราธิวาส!J133+ปัตตานี!J133+พังงา!J133+พัทลุง!J133+ภูเก็ต!J133+ยะลา!J133+ระนอง!J133+สงขลา!J133+สตูล!J133+สุราษฎร์ธานี!J133</f>
        <v>75</v>
      </c>
      <c r="K133" s="230">
        <f t="shared" ca="1" si="52"/>
        <v>100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กระบี่!J134+ชุมพร!J134+ตรัง!J134+นครศรีธรรมราช!J134+นราธิวาส!J134+ปัตตานี!J134+พังงา!J134+พัทลุง!J134+ภูเก็ต!J134+ยะลา!J134+ระนอง!J134+สงขลา!J134+สตูล!J134+สุราษฎร์ธานี!J134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กระบี่!J135+ชุมพร!J135+ตรัง!J135+นครศรีธรรมราช!J135+นราธิวาส!J135+ปัตตานี!J135+พังงา!J135+พัทลุง!J135+ภูเก็ต!J135+ยะลา!J135+ระนอง!J135+สงขลา!J135+สตูล!J135+สุราษฎร์ธานี!J135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กระบี่!I138+ชุมพร!I138+ตรัง!I138+นครศรีธรรมราช!I138+นราธิวาส!I138+ปัตตานี!I138+พังงา!I138+พัทลุง!I138+ภูเก็ต!I138+ยะลา!I138+ระนอง!I138+สงขลา!I138+สตูล!I138+สุราษฎร์ธานี!I138</f>
        <v>160</v>
      </c>
      <c r="J138" s="273">
        <f ca="1">กระบี่!J138+ชุมพร!J138+ตรัง!J138+นครศรีธรรมราช!J138+นราธิวาส!J138+ปัตตานี!J138+พังงา!J138+พัทลุง!J138+ภูเก็ต!J138+ยะลา!J138+ระนอง!J138+สงขลา!J138+สตูล!J138+สุราษฎร์ธานี!J138</f>
        <v>162</v>
      </c>
      <c r="K138" s="274">
        <f ca="1">IF(I138&gt;0,J138*100/I138,0)</f>
        <v>101.25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2" t="s">
        <v>17</v>
      </c>
      <c r="E140" s="573"/>
      <c r="F140" s="573"/>
      <c r="G140" s="573"/>
      <c r="H140" s="153" t="s">
        <v>12</v>
      </c>
      <c r="I140" s="166"/>
      <c r="J140" s="166"/>
      <c r="K140" s="167"/>
      <c r="L140" s="156">
        <f ca="1">กระบี่!L140+ชุมพร!L140+ตรัง!L140+นครศรีธรรมราช!L140+นราธิวาส!L140+ปัตตานี!L140+พังงา!L140+พัทลุง!L140+ภูเก็ต!L140+ยะลา!L140+ระนอง!L140+สงขลา!L140+สตูล!L140+สุราษฎร์ธานี!L140</f>
        <v>2536145</v>
      </c>
      <c r="M140" s="156">
        <f ca="1">กระบี่!M140+ชุมพร!M140+ตรัง!M140+นครศรีธรรมราช!M140+นราธิวาส!M140+ปัตตานี!M140+พังงา!M140+พัทลุง!M140+ภูเก็ต!M140+ยะลา!M140+ระนอง!M140+สงขลา!M140+สตูล!M140+สุราษฎร์ธานี!M140</f>
        <v>2536145</v>
      </c>
      <c r="N140" s="156">
        <f ca="1">กระบี่!N140+ชุมพร!N140+ตรัง!N140+นครศรีธรรมราช!N140+นราธิวาส!N140+ปัตตานี!N140+พังงา!N140+พัทลุง!N140+ภูเก็ต!N140+ยะลา!N140+ระนอง!N140+สงขลา!N140+สตูล!N140+สุราษฎร์ธานี!N140</f>
        <v>2339704.2800000003</v>
      </c>
      <c r="O140" s="155">
        <f t="shared" ref="O140:O142" ca="1" si="53">IF(L140&gt;0,N140*100/L140,0)</f>
        <v>92.254357696425103</v>
      </c>
      <c r="P140" s="155">
        <f t="shared" ref="P140:P142" ca="1" si="54">IF(M140&gt;0,N140*100/M140,0)</f>
        <v>92.254357696425103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>กระบี่!L141+ชุมพร!L141+ตรัง!L141+นครศรีธรรมราช!L141+นราธิวาส!L141+ปัตตานี!L141+พังงา!L141+พัทลุง!L141+ภูเก็ต!L141+ยะลา!L141+ระนอง!L141+สงขลา!L141+สตูล!L141+สุราษฎร์ธานี!L141</f>
        <v>0</v>
      </c>
      <c r="M141" s="161">
        <f>กระบี่!M141+ชุมพร!M141+ตรัง!M141+นครศรีธรรมราช!M141+นราธิวาส!M141+ปัตตานี!M141+พังงา!M141+พัทลุง!M141+ภูเก็ต!M141+ยะลา!M141+ระนอง!M141+สงขลา!M141+สตูล!M141+สุราษฎร์ธานี!M141</f>
        <v>0</v>
      </c>
      <c r="N141" s="161">
        <f>กระบี่!N141+ชุมพร!N141+ตรัง!N141+นครศรีธรรมราช!N141+นราธิวาส!N141+ปัตตานี!N141+พังงา!N141+พัทลุง!N141+ภูเก็ต!N141+ยะลา!N141+ระนอง!N141+สงขลา!N141+สตูล!N141+สุราษฎร์ธานี!N141</f>
        <v>0</v>
      </c>
      <c r="O141" s="160">
        <f t="shared" si="53"/>
        <v>0</v>
      </c>
      <c r="P141" s="160">
        <f t="shared" si="54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ca="1">กระบี่!L142+ชุมพร!L142+ตรัง!L142+นครศรีธรรมราช!L142+นราธิวาส!L142+ปัตตานี!L142+พังงา!L142+พัทลุง!L142+ภูเก็ต!L142+ยะลา!L142+ระนอง!L142+สงขลา!L142+สตูล!L142+สุราษฎร์ธานี!L142</f>
        <v>2536145</v>
      </c>
      <c r="M142" s="161">
        <f ca="1">กระบี่!M142+ชุมพร!M142+ตรัง!M142+นครศรีธรรมราช!M142+นราธิวาส!M142+ปัตตานี!M142+พังงา!M142+พัทลุง!M142+ภูเก็ต!M142+ยะลา!M142+ระนอง!M142+สงขลา!M142+สตูล!M142+สุราษฎร์ธานี!M142</f>
        <v>2536145</v>
      </c>
      <c r="N142" s="161">
        <f ca="1">กระบี่!N142+ชุมพร!N142+ตรัง!N142+นครศรีธรรมราช!N142+นราธิวาส!N142+ปัตตานี!N142+พังงา!N142+พัทลุง!N142+ภูเก็ต!N142+ยะลา!N142+ระนอง!N142+สงขลา!N142+สตูล!N142+สุราษฎร์ธานี!N142</f>
        <v>2339704.2800000003</v>
      </c>
      <c r="O142" s="160">
        <f t="shared" ca="1" si="53"/>
        <v>92.254357696425103</v>
      </c>
      <c r="P142" s="160">
        <f t="shared" ca="1" si="54"/>
        <v>92.254357696425103</v>
      </c>
    </row>
    <row r="143" spans="1:16" ht="21.75" customHeight="1" x14ac:dyDescent="0.3">
      <c r="A143" s="162"/>
      <c r="B143" s="163"/>
      <c r="C143" s="163" t="s">
        <v>16</v>
      </c>
      <c r="D143" s="574" t="s">
        <v>20</v>
      </c>
      <c r="E143" s="575"/>
      <c r="F143" s="575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f>กระบี่!L143+ชุมพร!L143+ตรัง!L143+นครศรีธรรมราช!L143+นราธิวาส!L143+ปัตตานี!L143+พังงา!L143+พัทลุง!L143+ภูเก็ต!L143+ยะลา!L143+ระนอง!L143+สงขลา!L143+สตูล!L143+สุราษฎร์ธานี!L143</f>
        <v>0</v>
      </c>
      <c r="M143" s="168">
        <f>กระบี่!M143+ชุมพร!M143+ตรัง!M143+นครศรีธรรมราช!M143+นราธิวาส!M143+ปัตตานี!M143+พังงา!M143+พัทลุง!M143+ภูเก็ต!M143+ยะลา!M143+ระนอง!M143+สงขลา!M143+สตูล!M143+สุราษฎร์ธานี!M143</f>
        <v>0</v>
      </c>
      <c r="N143" s="168">
        <f>กระบี่!N143+ชุมพร!N143+ตรัง!N143+นครศรีธรรมราช!N143+นราธิวาส!N143+ปัตตานี!N143+พังงา!N143+พัทลุง!N143+ภูเก็ต!N143+ยะลา!N143+ระนอง!N143+สงขลา!N143+สตูล!N143+สุราษฎร์ธานี!N143</f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กระบี่!L144+ชุมพร!L144+ตรัง!L144+นครศรีธรรมราช!L144+นราธิวาส!L144+ปัตตานี!L144+พังงา!L144+พัทลุง!L144+ภูเก็ต!L144+ยะลา!L144+ระนอง!L144+สงขลา!L144+สตูล!L144+สุราษฎร์ธานี!L144</f>
        <v>2536145</v>
      </c>
      <c r="M144" s="173">
        <f ca="1">กระบี่!M144+ชุมพร!M144+ตรัง!M144+นครศรีธรรมราช!M144+นราธิวาส!M144+ปัตตานี!M144+พังงา!M144+พัทลุง!M144+ภูเก็ต!M144+ยะลา!M144+ระนอง!M144+สงขลา!M144+สตูล!M144+สุราษฎร์ธานี!M144</f>
        <v>2536145</v>
      </c>
      <c r="N144" s="174">
        <f ca="1">กระบี่!N144+ชุมพร!N144+ตรัง!N144+นครศรีธรรมราช!N144+นราธิวาส!N144+ปัตตานี!N144+พังงา!N144+พัทลุง!N144+ภูเก็ต!N144+ยะลา!N144+ระนอง!N144+สงขลา!N144+สตูล!N144+สุราษฎร์ธานี!N144</f>
        <v>2339704.2800000003</v>
      </c>
      <c r="O144" s="175">
        <f ca="1">IF(L144&gt;0,N144*100/L144,0)</f>
        <v>92.254357696425103</v>
      </c>
      <c r="P144" s="175">
        <f ca="1">IF(M144&gt;0,N144*100/M144,0)</f>
        <v>92.254357696425103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กระบี่!L145+ชุมพร!L145+ตรัง!L145+นครศรีธรรมราช!L145+นราธิวาส!L145+ปัตตานี!L145+พังงา!L145+พัทลุง!L145+ภูเก็ต!L145+ยะลา!L145+ระนอง!L145+สงขลา!L145+สตูล!L145+สุราษฎร์ธานี!L145</f>
        <v>1111500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กระบี่!L146+ชุมพร!L146+ตรัง!L146+นครศรีธรรมราช!L146+นราธิวาส!L146+ปัตตานี!L146+พังงา!L146+พัทลุง!L146+ภูเก็ต!L146+ยะลา!L146+ระนอง!L146+สงขลา!L146+สตูล!L146+สุราษฎร์ธานี!L146</f>
        <v>1424645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6" t="s">
        <v>23</v>
      </c>
      <c r="E147" s="575"/>
      <c r="F147" s="89"/>
      <c r="G147" s="83" t="s">
        <v>18</v>
      </c>
      <c r="H147" s="178" t="s">
        <v>12</v>
      </c>
      <c r="I147" s="194"/>
      <c r="J147" s="194"/>
      <c r="K147" s="230"/>
      <c r="L147" s="93">
        <f>กระบี่!L147+ชุมพร!L147+ตรัง!L147+นครศรีธรรมราช!L147+นราธิวาส!L147+ปัตตานี!L147+พังงา!L147+พัทลุง!L147+ภูเก็ต!L147+ยะลา!L147+ระนอง!L147+สงขลา!L147+สตูล!L147+สุราษฎร์ธานี!L147</f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กระบี่!L148+ชุมพร!L148+ตรัง!L148+นครศรีธรรมราช!L148+นราธิวาส!L148+ปัตตานี!L148+พังงา!L148+พัทลุง!L148+ภูเก็ต!L148+ยะลา!L148+ระนอง!L148+สงขลา!L148+สตูล!L148+สุราษฎร์ธานี!L148</f>
        <v>0</v>
      </c>
      <c r="M148" s="101"/>
      <c r="N148" s="91">
        <f ca="1">กระบี่!N148+ชุมพร!N148+ตรัง!N148+นครศรีธรรมราช!N148+นราธิวาส!N148+ปัตตานี!N148+พังงา!N148+พัทลุง!N148+ภูเก็ต!N148+ยะลา!N148+ระนอง!N148+สงขลา!N148+สตูล!N148+สุราษฎร์ธานี!N148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กระบี่!I149+ชุมพร!I149+ตรัง!I149+นครศรีธรรมราช!I149+นราธิวาส!I149+ปัตตานี!I149+พังงา!I149+พัทลุง!I149+ภูเก็ต!I149+ยะลา!I149+ระนอง!I149+สงขลา!I149+สตูล!I149+สุราษฎร์ธานี!I149</f>
        <v>56</v>
      </c>
      <c r="J149" s="281">
        <f ca="1">กระบี่!J149+ชุมพร!J149+ตรัง!J149+นครศรีธรรมราช!J149+นราธิวาส!J149+ปัตตานี!J149+พังงา!J149+พัทลุง!J149+ภูเก็ต!J149+ยะลา!J149+ระนอง!J149+สงขลา!J149+สตูล!J149+สุราษฎร์ธานี!J149</f>
        <v>53</v>
      </c>
      <c r="K149" s="282">
        <f ca="1">IF(I149&gt;0,J149*100/I149,0)</f>
        <v>94.642857142857139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กระบี่!J154+ชุมพร!J154+ตรัง!J154+นครศรีธรรมราช!J154+นราธิวาส!J154+ปัตตานี!J154+พังงา!J154+พัทลุง!J154+ภูเก็ต!J154+ยะลา!J154+ระนอง!J154+สงขลา!J154+สตูล!J154+สุราษฎร์ธานี!J154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กระบี่!J155+ชุมพร!J155+ตรัง!J155+นครศรีธรรมราช!J155+นราธิวาส!J155+ปัตตานี!J155+พังงา!J155+พัทลุง!J155+ภูเก็ต!J155+ยะลา!J155+ระนอง!J155+สงขลา!J155+สตูล!J155+สุราษฎร์ธานี!J155</f>
        <v>14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กระบี่!J156+ชุมพร!J156+ตรัง!J156+นครศรีธรรมราช!J156+นราธิวาส!J156+ปัตตานี!J156+พังงา!J156+พัทลุง!J156+ภูเก็ต!J156+ยะลา!J156+ระนอง!J156+สงขลา!J156+สตูล!J156+สุราษฎร์ธานี!J156</f>
        <v>14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กระบี่!J157+ชุมพร!J157+ตรัง!J157+นครศรีธรรมราช!J157+นราธิวาส!J157+ปัตตานี!J157+พังงา!J157+พัทลุง!J157+ภูเก็ต!J157+ยะลา!J157+ระนอง!J157+สงขลา!J157+สตูล!J157+สุราษฎร์ธานี!J157</f>
        <v>14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กระบี่!I158+ชุมพร!I158+ตรัง!I158+นครศรีธรรมราช!I158+นราธิวาส!I158+ปัตตานี!I158+พังงา!I158+พัทลุง!I158+ภูเก็ต!I158+ยะลา!I158+ระนอง!I158+สงขลา!I158+สตูล!I158+สุราษฎร์ธานี!I158</f>
        <v>56</v>
      </c>
      <c r="J158" s="195">
        <f ca="1">กระบี่!J158+ชุมพร!J158+ตรัง!J158+นครศรีธรรมราช!J158+นราธิวาส!J158+ปัตตานี!J158+พังงา!J158+พัทลุง!J158+ภูเก็ต!J158+ยะลา!J158+ระนอง!J158+สงขลา!J158+สตูล!J158+สุราษฎร์ธานี!J158</f>
        <v>53</v>
      </c>
      <c r="K158" s="167">
        <f ca="1">IF(I158&gt;0,J158*100/I158,0)</f>
        <v>94.642857142857139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กระบี่!J159+ชุมพร!J159+ตรัง!J159+นครศรีธรรมราช!J159+นราธิวาส!J159+ปัตตานี!J159+พังงา!J159+พัทลุง!J159+ภูเก็ต!J159+ยะลา!J159+ระนอง!J159+สงขลา!J159+สตูล!J159+สุราษฎร์ธานี!J159</f>
        <v>1649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กระบี่!J160+ชุมพร!J160+ตรัง!J160+นครศรีธรรมราช!J160+นราธิวาส!J160+ปัตตานี!J160+พังงา!J160+พัทลุง!J160+ภูเก็ต!J160+ยะลา!J160+ระนอง!J160+สงขลา!J160+สตูล!J160+สุราษฎร์ธานี!J160</f>
        <v>1649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กระบี่!J161+ชุมพร!J161+ตรัง!J161+นครศรีธรรมราช!J161+นราธิวาส!J161+ปัตตานี!J161+พังงา!J161+พัทลุง!J161+ภูเก็ต!J161+ยะลา!J161+ระนอง!J161+สงขลา!J161+สตูล!J161+สุราษฎร์ธานี!J161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กระบี่!J162+ชุมพร!J162+ตรัง!J162+นครศรีธรรมราช!J162+นราธิวาส!J162+ปัตตานี!J162+พังงา!J162+พัทลุง!J162+ภูเก็ต!J162+ยะลา!J162+ระนอง!J162+สงขลา!J162+สตูล!J162+สุราษฎร์ธานี!J162</f>
        <v>1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กระบี่!J163+ชุมพร!J163+ตรัง!J163+นครศรีธรรมราช!J163+นราธิวาส!J163+ปัตตานี!J163+พังงา!J163+พัทลุง!J163+ภูเก็ต!J163+ยะลา!J163+ระนอง!J163+สงขลา!J163+สตูล!J163+สุราษฎร์ธานี!J163</f>
        <v>1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กระบี่!I164+ชุมพร!I164+ตรัง!I164+นครศรีธรรมราช!I164+นราธิวาส!I164+ปัตตานี!I164+พังงา!I164+พัทลุง!I164+ภูเก็ต!I164+ยะลา!I164+ระนอง!I164+สงขลา!I164+สตูล!I164+สุราษฎร์ธานี!I164</f>
        <v>35</v>
      </c>
      <c r="J164" s="290">
        <f ca="1">กระบี่!J164+ชุมพร!J164+ตรัง!J164+นครศรีธรรมราช!J164+นราธิวาส!J164+ปัตตานี!J164+พังงา!J164+พัทลุง!J164+ภูเก็ต!J164+ยะลา!J164+ระนอง!J164+สงขลา!J164+สตูล!J164+สุราษฎร์ธานี!J164</f>
        <v>35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กระบี่!J169+ชุมพร!J169+ตรัง!J169+นครศรีธรรมราช!J169+นราธิวาส!J169+ปัตตานี!J169+พังงา!J169+พัทลุง!J169+ภูเก็ต!J169+ยะลา!J169+ระนอง!J169+สงขลา!J169+สตูล!J169+สุราษฎร์ธานี!J169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>
        <f>กระบี่!I170+ชุมพร!I170+ตรัง!I170+นครศรีธรรมราช!I170+นราธิวาส!I170+ปัตตานี!I170+พังงา!I170+พัทลุง!I170+ภูเก็ต!I170+ยะลา!I170+ระนอง!I170+สงขลา!I170+สตูล!I170+สุราษฎร์ธานี!I170</f>
        <v>0</v>
      </c>
      <c r="J170" s="204">
        <f ca="1">กระบี่!J170+ชุมพร!J170+ตรัง!J170+นครศรีธรรมราช!J170+นราธิวาส!J170+ปัตตานี!J170+พังงา!J170+พัทลุง!J170+ภูเก็ต!J170+ยะลา!J170+ระนอง!J170+สงขลา!J170+สตูล!J170+สุราษฎร์ธานี!J170</f>
        <v>13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>
        <f>กระบี่!I171+ชุมพร!I171+ตรัง!I171+นครศรีธรรมราช!I171+นราธิวาส!I171+ปัตตานี!I171+พังงา!I171+พัทลุง!I171+ภูเก็ต!I171+ยะลา!I171+ระนอง!I171+สงขลา!I171+สตูล!I171+สุราษฎร์ธานี!I171</f>
        <v>0</v>
      </c>
      <c r="J171" s="204">
        <f ca="1">กระบี่!J171+ชุมพร!J171+ตรัง!J171+นครศรีธรรมราช!J171+นราธิวาส!J171+ปัตตานี!J171+พังงา!J171+พัทลุง!J171+ภูเก็ต!J171+ยะลา!J171+ระนอง!J171+สงขลา!J171+สตูล!J171+สุราษฎร์ธานี!J171</f>
        <v>14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>
        <f>กระบี่!I172+ชุมพร!I172+ตรัง!I172+นครศรีธรรมราช!I172+นราธิวาส!I172+ปัตตานี!I172+พังงา!I172+พัทลุง!I172+ภูเก็ต!I172+ยะลา!I172+ระนอง!I172+สงขลา!I172+สตูล!I172+สุราษฎร์ธานี!I172</f>
        <v>0</v>
      </c>
      <c r="J172" s="204">
        <f ca="1">กระบี่!J172+ชุมพร!J172+ตรัง!J172+นครศรีธรรมราช!J172+นราธิวาส!J172+ปัตตานี!J172+พังงา!J172+พัทลุง!J172+ภูเก็ต!J172+ยะลา!J172+ระนอง!J172+สงขลา!J172+สตูล!J172+สุราษฎร์ธานี!J172</f>
        <v>14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กระบี่!I173+ชุมพร!I173+ตรัง!I173+นครศรีธรรมราช!I173+นราธิวาส!I173+ปัตตานี!I173+พังงา!I173+พัทลุง!I173+ภูเก็ต!I173+ยะลา!I173+ระนอง!I173+สงขลา!I173+สตูล!I173+สุราษฎร์ธานี!I173</f>
        <v>35</v>
      </c>
      <c r="J173" s="195">
        <f ca="1">กระบี่!J173+ชุมพร!J173+ตรัง!J173+นครศรีธรรมราช!J173+นราธิวาส!J173+ปัตตานี!J173+พังงา!J173+พัทลุง!J173+ภูเก็ต!J173+ยะลา!J173+ระนอง!J173+สงขลา!J173+สตูล!J173+สุราษฎร์ธานี!J173</f>
        <v>35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>
        <f>กระบี่!I174+ชุมพร!I174+ตรัง!I174+นครศรีธรรมราช!I174+นราธิวาส!I174+ปัตตานี!I174+พังงา!I174+พัทลุง!I174+ภูเก็ต!I174+ยะลา!I174+ระนอง!I174+สงขลา!I174+สตูล!I174+สุราษฎร์ธานี!I174</f>
        <v>0</v>
      </c>
      <c r="J174" s="204">
        <f ca="1">กระบี่!J174+ชุมพร!J174+ตรัง!J174+นครศรีธรรมราช!J174+นราธิวาส!J174+ปัตตานี!J174+พังงา!J174+พัทลุง!J174+ภูเก็ต!J174+ยะลา!J174+ระนอง!J174+สงขลา!J174+สตูล!J174+สุราษฎร์ธานี!J174</f>
        <v>3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>
        <f>กระบี่!I175+ชุมพร!I175+ตรัง!I175+นครศรีธรรมราช!I175+นราธิวาส!I175+ปัตตานี!I175+พังงา!I175+พัทลุง!I175+ภูเก็ต!I175+ยะลา!I175+ระนอง!I175+สงขลา!I175+สตูล!I175+สุราษฎร์ธานี!I175</f>
        <v>0</v>
      </c>
      <c r="J175" s="216">
        <f ca="1">กระบี่!J175+ชุมพร!J175+ตรัง!J175+นครศรีธรรมราช!J175+นราธิวาส!J175+ปัตตานี!J175+พังงา!J175+พัทลุง!J175+ภูเก็ต!J175+ยะลา!J175+ระนอง!J175+สงขลา!J175+สตูล!J175+สุราษฎร์ธานี!J175</f>
        <v>2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กระบี่!I176+ชุมพร!I176+ตรัง!I176+นครศรีธรรมราช!I176+นราธิวาส!I176+ปัตตานี!I176+พังงา!I176+พัทลุง!I176+ภูเก็ต!I176+ยะลา!I176+ระนอง!I176+สงขลา!I176+สตูล!I176+สุราษฎร์ธานี!I176</f>
        <v>10</v>
      </c>
      <c r="J176" s="290">
        <f ca="1">กระบี่!J176+ชุมพร!J176+ตรัง!J176+นครศรีธรรมราช!J176+นราธิวาส!J176+ปัตตานี!J176+พังงา!J176+พัทลุง!J176+ภูเก็ต!J176+ยะลา!J176+ระนอง!J176+สงขลา!J176+สตูล!J176+สุราษฎร์ธานี!J176</f>
        <v>10</v>
      </c>
      <c r="K176" s="291">
        <f ca="1">IF(I176&gt;0,J176*100/I176,0)</f>
        <v>100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กระบี่!J181+ชุมพร!J181+ตรัง!J181+นครศรีธรรมราช!J181+นราธิวาส!J181+ปัตตานี!J181+พังงา!J181+พัทลุง!J181+ภูเก็ต!J181+ยะลา!J181+ระนอง!J181+สงขลา!J181+สตูล!J181+สุราษฎร์ธานี!J181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กระบี่!J182+ชุมพร!J182+ตรัง!J182+นครศรีธรรมราช!J182+นราธิวาส!J182+ปัตตานี!J182+พังงา!J182+พัทลุง!J182+ภูเก็ต!J182+ยะลา!J182+ระนอง!J182+สงขลา!J182+สตูล!J182+สุราษฎร์ธานี!J182</f>
        <v>3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กระบี่!J183+ชุมพร!J183+ตรัง!J183+นครศรีธรรมราช!J183+นราธิวาส!J183+ปัตตานี!J183+พังงา!J183+พัทลุง!J183+ภูเก็ต!J183+ยะลา!J183+ระนอง!J183+สงขลา!J183+สตูล!J183+สุราษฎร์ธานี!J183</f>
        <v>3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กระบี่!J184+ชุมพร!J184+ตรัง!J184+นครศรีธรรมราช!J184+นราธิวาส!J184+ปัตตานี!J184+พังงา!J184+พัทลุง!J184+ภูเก็ต!J184+ยะลา!J184+ระนอง!J184+สงขลา!J184+สตูล!J184+สุราษฎร์ธานี!J184</f>
        <v>3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กระบี่!I185+ชุมพร!I185+ตรัง!I185+นครศรีธรรมราช!I185+นราธิวาส!I185+ปัตตานี!I185+พังงา!I185+พัทลุง!I185+ภูเก็ต!I185+ยะลา!I185+ระนอง!I185+สงขลา!I185+สตูล!I185+สุราษฎร์ธานี!I185</f>
        <v>10</v>
      </c>
      <c r="J185" s="210">
        <f ca="1">กระบี่!J185+ชุมพร!J185+ตรัง!J185+นครศรีธรรมราช!J185+นราธิวาส!J185+ปัตตานี!J185+พังงา!J185+พัทลุง!J185+ภูเก็ต!J185+ยะลา!J185+ระนอง!J185+สงขลา!J185+สตูล!J185+สุราษฎร์ธานี!J185</f>
        <v>8</v>
      </c>
      <c r="K185" s="230">
        <f t="shared" ref="K185:K186" ca="1" si="55">IF(I185&gt;0,J185*100/I185,0)</f>
        <v>80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กระบี่!I186+ชุมพร!I186+ตรัง!I186+นครศรีธรรมราช!I186+นราธิวาส!I186+ปัตตานี!I186+พังงา!I186+พัทลุง!I186+ภูเก็ต!I186+ยะลา!I186+ระนอง!I186+สงขลา!I186+สตูล!I186+สุราษฎร์ธานี!I186</f>
        <v>10</v>
      </c>
      <c r="J186" s="210">
        <f ca="1">กระบี่!J186+ชุมพร!J186+ตรัง!J186+นครศรีธรรมราช!J186+นราธิวาส!J186+ปัตตานี!J186+พังงา!J186+พัทลุง!J186+ภูเก็ต!J186+ยะลา!J186+ระนอง!J186+สงขลา!J186+สตูล!J186+สุราษฎร์ธานี!J186</f>
        <v>10</v>
      </c>
      <c r="K186" s="230">
        <f t="shared" ca="1" si="55"/>
        <v>100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กระบี่!J187+ชุมพร!J187+ตรัง!J187+นครศรีธรรมราช!J187+นราธิวาส!J187+ปัตตานี!J187+พังงา!J187+พัทลุง!J187+ภูเก็ต!J187+ยะลา!J187+ระนอง!J187+สงขลา!J187+สตูล!J187+สุราษฎร์ธานี!J187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กระบี่!J188+ชุมพร!J188+ตรัง!J188+นครศรีธรรมราช!J188+นราธิวาส!J188+ปัตตานี!J188+พังงา!J188+พัทลุง!J188+ภูเก็ต!J188+ยะลา!J188+ระนอง!J188+สงขลา!J188+สตูล!J188+สุราษฎร์ธานี!J188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กระบี่!I189+ชุมพร!I189+ตรัง!I189+นครศรีธรรมราช!I189+นราธิวาส!I189+ปัตตานี!I189+พังงา!I189+พัทลุง!I189+ภูเก็ต!I189+ยะลา!I189+ระนอง!I189+สงขลา!I189+สตูล!I189+สุราษฎร์ธานี!I189</f>
        <v>239000</v>
      </c>
      <c r="J189" s="290">
        <f ca="1">กระบี่!J189+ชุมพร!J189+ตรัง!J189+นครศรีธรรมราช!J189+นราธิวาส!J189+ปัตตานี!J189+พังงา!J189+พัทลุง!J189+ภูเก็ต!J189+ยะลา!J189+ระนอง!J189+สงขลา!J189+สตูล!J189+สุราษฎร์ธานี!J189</f>
        <v>264000</v>
      </c>
      <c r="K189" s="291">
        <f ca="1">IF(I189&gt;0,J189*100/I189,0)</f>
        <v>110.46025104602511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กระบี่!J194+ชุมพร!J194+ตรัง!J194+นครศรีธรรมราช!J194+นราธิวาส!J194+ปัตตานี!J194+พังงา!J194+พัทลุง!J194+ภูเก็ต!J194+ยะลา!J194+ระนอง!J194+สงขลา!J194+สตูล!J194+สุราษฎร์ธานี!J194</f>
        <v>2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กระบี่!J195+ชุมพร!J195+ตรัง!J195+นครศรีธรรมราช!J195+นราธิวาส!J195+ปัตตานี!J195+พังงา!J195+พัทลุง!J195+ภูเก็ต!J195+ยะลา!J195+ระนอง!J195+สงขลา!J195+สตูล!J195+สุราษฎร์ธานี!J195</f>
        <v>12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กระบี่!J196+ชุมพร!J196+ตรัง!J196+นครศรีธรรมราช!J196+นราธิวาส!J196+ปัตตานี!J196+พังงา!J196+พัทลุง!J196+ภูเก็ต!J196+ยะลา!J196+ระนอง!J196+สงขลา!J196+สตูล!J196+สุราษฎร์ธานี!J196</f>
        <v>12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กระบี่!J197+ชุมพร!J197+ตรัง!J197+นครศรีธรรมราช!J197+นราธิวาส!J197+ปัตตานี!J197+พังงา!J197+พัทลุง!J197+ภูเก็ต!J197+ยะลา!J197+ระนอง!J197+สงขลา!J197+สตูล!J197+สุราษฎร์ธานี!J197</f>
        <v>10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>
        <f>กระบี่!J198+ชุมพร!J198+ตรัง!J198+นครศรีธรรมราช!J198+นราธิวาส!J198+ปัตตานี!J198+พังงา!J198+พัทลุง!J198+ภูเก็ต!J198+ยะลา!J198+ระนอง!J198+สงขลา!J198+สตูล!J198+สุราษฎร์ธานี!J198</f>
        <v>0</v>
      </c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กระบี่!I199+ชุมพร!I199+ตรัง!I199+นครศรีธรรมราช!I199+นราธิวาส!I199+ปัตตานี!I199+พังงา!I199+พัทลุง!I199+ภูเก็ต!I199+ยะลา!I199+ระนอง!I199+สงขลา!I199+สตูล!I199+สุราษฎร์ธานี!I199</f>
        <v>239000</v>
      </c>
      <c r="J199" s="195">
        <f ca="1">กระบี่!J199+ชุมพร!J199+ตรัง!J199+นครศรีธรรมราช!J199+นราธิวาส!J199+ปัตตานี!J199+พังงา!J199+พัทลุง!J199+ภูเก็ต!J199+ยะลา!J199+ระนอง!J199+สงขลา!J199+สตูล!J199+สุราษฎร์ธานี!J199</f>
        <v>249000</v>
      </c>
      <c r="K199" s="167">
        <f t="shared" ref="K199:K201" ca="1" si="56">IF(I199&gt;0,J199*100/I199,0)</f>
        <v>104.18410041841004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กระบี่!I200+ชุมพร!I200+ตรัง!I200+นครศรีธรรมราช!I200+นราธิวาส!I200+ปัตตานี!I200+พังงา!I200+พัทลุง!I200+ภูเก็ต!I200+ยะลา!I200+ระนอง!I200+สงขลา!I200+สตูล!I200+สุราษฎร์ธานี!I200</f>
        <v>239000</v>
      </c>
      <c r="J200" s="195">
        <f ca="1">กระบี่!J200+ชุมพร!J200+ตรัง!J200+นครศรีธรรมราช!J200+นราธิวาส!J200+ปัตตานี!J200+พังงา!J200+พัทลุง!J200+ภูเก็ต!J200+ยะลา!J200+ระนอง!J200+สงขลา!J200+สตูล!J200+สุราษฎร์ธานี!J200</f>
        <v>264000</v>
      </c>
      <c r="K200" s="167">
        <f t="shared" ca="1" si="56"/>
        <v>110.46025104602511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กระบี่!I201+ชุมพร!I201+ตรัง!I201+นครศรีธรรมราช!I201+นราธิวาส!I201+ปัตตานี!I201+พังงา!I201+พัทลุง!I201+ภูเก็ต!I201+ยะลา!I201+ระนอง!I201+สงขลา!I201+สตูล!I201+สุราษฎร์ธานี!I201</f>
        <v>60</v>
      </c>
      <c r="J201" s="195">
        <f ca="1">กระบี่!J201+ชุมพร!J201+ตรัง!J201+นครศรีธรรมราช!J201+นราธิวาส!J201+ปัตตานี!J201+พังงา!J201+พัทลุง!J201+ภูเก็ต!J201+ยะลา!J201+ระนอง!J201+สงขลา!J201+สตูล!J201+สุราษฎร์ธานี!J201</f>
        <v>60</v>
      </c>
      <c r="K201" s="167">
        <f t="shared" ca="1" si="56"/>
        <v>100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กระบี่!J202+ชุมพร!J202+ตรัง!J202+นครศรีธรรมราช!J202+นราธิวาส!J202+ปัตตานี!J202+พังงา!J202+พัทลุง!J202+ภูเก็ต!J202+ยะลา!J202+ระนอง!J202+สงขลา!J202+สตูล!J202+สุราษฎร์ธานี!J202</f>
        <v>2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กระบี่!J203+ชุมพร!J203+ตรัง!J203+นครศรีธรรมราช!J203+นราธิวาส!J203+ปัตตานี!J203+พังงา!J203+พัทลุง!J203+ภูเก็ต!J203+ยะลา!J203+ระนอง!J203+สงขลา!J203+สตูล!J203+สุราษฎร์ธานี!J203</f>
        <v>2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กระบี่!I204+ชุมพร!I204+ตรัง!I204+นครศรีธรรมราช!I204+นราธิวาส!I204+ปัตตานี!I204+พังงา!I204+พัทลุง!I204+ภูเก็ต!I204+ยะลา!I204+ระนอง!I204+สงขลา!I204+สตูล!I204+สุราษฎร์ธานี!I204</f>
        <v>100</v>
      </c>
      <c r="J204" s="290">
        <f ca="1">กระบี่!J204+ชุมพร!J204+ตรัง!J204+นครศรีธรรมราช!J204+นราธิวาส!J204+ปัตตานี!J204+พังงา!J204+พัทลุง!J204+ภูเก็ต!J204+ยะลา!J204+ระนอง!J204+สงขลา!J204+สตูล!J204+สุราษฎร์ธานี!J204</f>
        <v>102</v>
      </c>
      <c r="K204" s="291">
        <f ca="1">IF(I204&gt;0,J204*100/I204,0)</f>
        <v>102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กระบี่!J209+ชุมพร!J209+ตรัง!J209+นครศรีธรรมราช!J209+นราธิวาส!J209+ปัตตานี!J209+พังงา!J209+พัทลุง!J209+ภูเก็ต!J209+ยะลา!J209+ระนอง!J209+สงขลา!J209+สตูล!J209+สุราษฎร์ธานี!J209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กระบี่!J210+ชุมพร!J210+ตรัง!J210+นครศรีธรรมราช!J210+นราธิวาส!J210+ปัตตานี!J210+พังงา!J210+พัทลุง!J210+ภูเก็ต!J210+ยะลา!J210+ระนอง!J210+สงขลา!J210+สตูล!J210+สุราษฎร์ธานี!J210</f>
        <v>1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กระบี่!J211+ชุมพร!J211+ตรัง!J211+นครศรีธรรมราช!J211+นราธิวาส!J211+ปัตตานี!J211+พังงา!J211+พัทลุง!J211+ภูเก็ต!J211+ยะลา!J211+ระนอง!J211+สงขลา!J211+สตูล!J211+สุราษฎร์ธานี!J211</f>
        <v>1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กระบี่!J212+ชุมพร!J212+ตรัง!J212+นครศรีธรรมราช!J212+นราธิวาส!J212+ปัตตานี!J212+พังงา!J212+พัทลุง!J212+ภูเก็ต!J212+ยะลา!J212+ระนอง!J212+สงขลา!J212+สตูล!J212+สุราษฎร์ธานี!J212</f>
        <v>1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กระบี่!I213+ชุมพร!I213+ตรัง!I213+นครศรีธรรมราช!I213+นราธิวาส!I213+ปัตตานี!I213+พังงา!I213+พัทลุง!I213+ภูเก็ต!I213+ยะลา!I213+ระนอง!I213+สงขลา!I213+สตูล!I213+สุราษฎร์ธานี!I213</f>
        <v>100</v>
      </c>
      <c r="J213" s="210">
        <f ca="1">กระบี่!J213+ชุมพร!J213+ตรัง!J213+นครศรีธรรมราช!J213+นราธิวาส!J213+ปัตตานี!J213+พังงา!J213+พัทลุง!J213+ภูเก็ต!J213+ยะลา!J213+ระนอง!J213+สงขลา!J213+สตูล!J213+สุราษฎร์ธานี!J213</f>
        <v>102</v>
      </c>
      <c r="K213" s="230">
        <f ca="1">IF(I213&gt;0,J213*100/I213,0)</f>
        <v>102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>
        <f>กระบี่!I214+ชุมพร!I214+ตรัง!I214+นครศรีธรรมราช!I214+นราธิวาส!I214+ปัตตานี!I214+พังงา!I214+พัทลุง!I214+ภูเก็ต!I214+ยะลา!I214+ระนอง!I214+สงขลา!I214+สตูล!I214+สุราษฎร์ธานี!I214</f>
        <v>0</v>
      </c>
      <c r="J214" s="194">
        <f>กระบี่!J214+ชุมพร!J214+ตรัง!J214+นครศรีธรรมราช!J214+นราธิวาส!J214+ปัตตานี!J214+พังงา!J214+พัทลุง!J214+ภูเก็ต!J214+ยะลา!J214+ระนอง!J214+สงขลา!J214+สตูล!J214+สุราษฎร์ธานี!J214</f>
        <v>0</v>
      </c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กระบี่!I215+ชุมพร!I215+ตรัง!I215+นครศรีธรรมราช!I215+นราธิวาส!I215+ปัตตานี!I215+พังงา!I215+พัทลุง!I215+ภูเก็ต!I215+ยะลา!I215+ระนอง!I215+สงขลา!I215+สตูล!I215+สุราษฎร์ธานี!I215</f>
        <v>0</v>
      </c>
      <c r="J215" s="210">
        <f ca="1">กระบี่!J215+ชุมพร!J215+ตรัง!J215+นครศรีธรรมราช!J215+นราธิวาส!J215+ปัตตานี!J215+พังงา!J215+พัทลุง!J215+ภูเก็ต!J215+ยะลา!J215+ระนอง!J215+สงขลา!J215+สตูล!J215+สุราษฎร์ธานี!J215</f>
        <v>0</v>
      </c>
      <c r="K215" s="230">
        <f t="shared" ref="K215:K216" ca="1" si="57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กระบี่!I216+ชุมพร!I216+ตรัง!I216+นครศรีธรรมราช!I216+นราธิวาส!I216+ปัตตานี!I216+พังงา!I216+พัทลุง!I216+ภูเก็ต!I216+ยะลา!I216+ระนอง!I216+สงขลา!I216+สตูล!I216+สุราษฎร์ธานี!I216</f>
        <v>6</v>
      </c>
      <c r="J216" s="210">
        <f ca="1">กระบี่!J216+ชุมพร!J216+ตรัง!J216+นครศรีธรรมราช!J216+นราธิวาส!J216+ปัตตานี!J216+พังงา!J216+พัทลุง!J216+ภูเก็ต!J216+ยะลา!J216+ระนอง!J216+สงขลา!J216+สตูล!J216+สุราษฎร์ธานี!J216</f>
        <v>6</v>
      </c>
      <c r="K216" s="230">
        <f t="shared" ca="1" si="57"/>
        <v>100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กระบี่!J217+ชุมพร!J217+ตรัง!J217+นครศรีธรรมราช!J217+นราธิวาส!J217+ปัตตานี!J217+พังงา!J217+พัทลุง!J217+ภูเก็ต!J217+ยะลา!J217+ระนอง!J217+สงขลา!J217+สตูล!J217+สุราษฎร์ธานี!J217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กระบี่!J218+ชุมพร!J218+ตรัง!J218+นครศรีธรรมราช!J218+นราธิวาส!J218+ปัตตานี!J218+พังงา!J218+พัทลุง!J218+ภูเก็ต!J218+ยะลา!J218+ระนอง!J218+สงขลา!J218+สตูล!J218+สุราษฎร์ธานี!J218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กระบี่!I219+ชุมพร!I219+ตรัง!I219+นครศรีธรรมราช!I219+นราธิวาส!I219+ปัตตานี!I219+พังงา!I219+พัทลุง!I219+ภูเก็ต!I219+ยะลา!I219+ระนอง!I219+สงขลา!I219+สตูล!I219+สุราษฎร์ธานี!I219</f>
        <v>189</v>
      </c>
      <c r="J219" s="273">
        <f ca="1">กระบี่!J219+ชุมพร!J219+ตรัง!J219+นครศรีธรรมราช!J219+นราธิวาส!J219+ปัตตานี!J219+พังงา!J219+พัทลุง!J219+ภูเก็ต!J219+ยะลา!J219+ระนอง!J219+สงขลา!J219+สตูล!J219+สุราษฎร์ธานี!J219</f>
        <v>189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2" t="s">
        <v>17</v>
      </c>
      <c r="E220" s="573"/>
      <c r="F220" s="573"/>
      <c r="G220" s="573"/>
      <c r="H220" s="153" t="s">
        <v>12</v>
      </c>
      <c r="I220" s="166"/>
      <c r="J220" s="166"/>
      <c r="K220" s="167"/>
      <c r="L220" s="156">
        <f ca="1">กระบี่!L220+ชุมพร!L220+ตรัง!L220+นครศรีธรรมราช!L220+นราธิวาส!L220+ปัตตานี!L220+พังงา!L220+พัทลุง!L220+ภูเก็ต!L220+ยะลา!L220+ระนอง!L220+สงขลา!L220+สตูล!L220+สุราษฎร์ธานี!L220</f>
        <v>622235</v>
      </c>
      <c r="M220" s="156">
        <f ca="1">กระบี่!M220+ชุมพร!M220+ตรัง!M220+นครศรีธรรมราช!M220+นราธิวาส!M220+ปัตตานี!M220+พังงา!M220+พัทลุง!M220+ภูเก็ต!M220+ยะลา!M220+ระนอง!M220+สงขลา!M220+สตูล!M220+สุราษฎร์ธานี!M220</f>
        <v>802695</v>
      </c>
      <c r="N220" s="156">
        <f ca="1">กระบี่!N220+ชุมพร!N220+ตรัง!N220+นครศรีธรรมราช!N220+นราธิวาส!N220+ปัตตานี!N220+พังงา!N220+พัทลุง!N220+ภูเก็ต!N220+ยะลา!N220+ระนอง!N220+สงขลา!N220+สตูล!N220+สุราษฎร์ธานี!N220</f>
        <v>605295</v>
      </c>
      <c r="O220" s="155">
        <f t="shared" ref="O220:O222" ca="1" si="58">IF(L220&gt;0,N220*100/L220,0)</f>
        <v>97.277555907334047</v>
      </c>
      <c r="P220" s="155">
        <f t="shared" ref="P220:P222" ca="1" si="59">IF(M220&gt;0,N220*100/M220,0)</f>
        <v>75.407844822753347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>กระบี่!L221+ชุมพร!L221+ตรัง!L221+นครศรีธรรมราช!L221+นราธิวาส!L221+ปัตตานี!L221+พังงา!L221+พัทลุง!L221+ภูเก็ต!L221+ยะลา!L221+ระนอง!L221+สงขลา!L221+สตูล!L221+สุราษฎร์ธานี!L221</f>
        <v>0</v>
      </c>
      <c r="M221" s="161">
        <f>กระบี่!M221+ชุมพร!M221+ตรัง!M221+นครศรีธรรมราช!M221+นราธิวาส!M221+ปัตตานี!M221+พังงา!M221+พัทลุง!M221+ภูเก็ต!M221+ยะลา!M221+ระนอง!M221+สงขลา!M221+สตูล!M221+สุราษฎร์ธานี!M221</f>
        <v>0</v>
      </c>
      <c r="N221" s="161">
        <f>กระบี่!N221+ชุมพร!N221+ตรัง!N221+นครศรีธรรมราช!N221+นราธิวาส!N221+ปัตตานี!N221+พังงา!N221+พัทลุง!N221+ภูเก็ต!N221+ยะลา!N221+ระนอง!N221+สงขลา!N221+สตูล!N221+สุราษฎร์ธานี!N221</f>
        <v>0</v>
      </c>
      <c r="O221" s="160">
        <f t="shared" si="58"/>
        <v>0</v>
      </c>
      <c r="P221" s="160">
        <f t="shared" si="59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ca="1">กระบี่!L222+ชุมพร!L222+ตรัง!L222+นครศรีธรรมราช!L222+นราธิวาส!L222+ปัตตานี!L222+พังงา!L222+พัทลุง!L222+ภูเก็ต!L222+ยะลา!L222+ระนอง!L222+สงขลา!L222+สตูล!L222+สุราษฎร์ธานี!L222</f>
        <v>622235</v>
      </c>
      <c r="M222" s="161">
        <f ca="1">กระบี่!M222+ชุมพร!M222+ตรัง!M222+นครศรีธรรมราช!M222+นราธิวาส!M222+ปัตตานี!M222+พังงา!M222+พัทลุง!M222+ภูเก็ต!M222+ยะลา!M222+ระนอง!M222+สงขลา!M222+สตูล!M222+สุราษฎร์ธานี!M222</f>
        <v>802695</v>
      </c>
      <c r="N222" s="161">
        <f ca="1">กระบี่!N222+ชุมพร!N222+ตรัง!N222+นครศรีธรรมราช!N222+นราธิวาส!N222+ปัตตานี!N222+พังงา!N222+พัทลุง!N222+ภูเก็ต!N222+ยะลา!N222+ระนอง!N222+สงขลา!N222+สตูล!N222+สุราษฎร์ธานี!N222</f>
        <v>605295</v>
      </c>
      <c r="O222" s="160">
        <f t="shared" ca="1" si="58"/>
        <v>97.277555907334047</v>
      </c>
      <c r="P222" s="160">
        <f t="shared" ca="1" si="59"/>
        <v>75.407844822753347</v>
      </c>
    </row>
    <row r="223" spans="1:16" ht="21.75" customHeight="1" x14ac:dyDescent="0.3">
      <c r="A223" s="162"/>
      <c r="B223" s="163"/>
      <c r="C223" s="163" t="s">
        <v>16</v>
      </c>
      <c r="D223" s="574" t="s">
        <v>20</v>
      </c>
      <c r="E223" s="575"/>
      <c r="F223" s="575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f>กระบี่!L223+ชุมพร!L223+ตรัง!L223+นครศรีธรรมราช!L223+นราธิวาส!L223+ปัตตานี!L223+พังงา!L223+พัทลุง!L223+ภูเก็ต!L223+ยะลา!L223+ระนอง!L223+สงขลา!L223+สตูล!L223+สุราษฎร์ธานี!L223</f>
        <v>0</v>
      </c>
      <c r="M223" s="168">
        <f>กระบี่!M223+ชุมพร!M223+ตรัง!M223+นครศรีธรรมราช!M223+นราธิวาส!M223+ปัตตานี!M223+พังงา!M223+พัทลุง!M223+ภูเก็ต!M223+ยะลา!M223+ระนอง!M223+สงขลา!M223+สตูล!M223+สุราษฎร์ธานี!M223</f>
        <v>0</v>
      </c>
      <c r="N223" s="168">
        <f>กระบี่!N223+ชุมพร!N223+ตรัง!N223+นครศรีธรรมราช!N223+นราธิวาส!N223+ปัตตานี!N223+พังงา!N223+พัทลุง!N223+ภูเก็ต!N223+ยะลา!N223+ระนอง!N223+สงขลา!N223+สตูล!N223+สุราษฎร์ธานี!N223</f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กระบี่!L224+ชุมพร!L224+ตรัง!L224+นครศรีธรรมราช!L224+นราธิวาส!L224+ปัตตานี!L224+พังงา!L224+พัทลุง!L224+ภูเก็ต!L224+ยะลา!L224+ระนอง!L224+สงขลา!L224+สตูล!L224+สุราษฎร์ธานี!L224</f>
        <v>622235</v>
      </c>
      <c r="M224" s="173">
        <f ca="1">กระบี่!M224+ชุมพร!M224+ตรัง!M224+นครศรีธรรมราช!M224+นราธิวาส!M224+ปัตตานี!M224+พังงา!M224+พัทลุง!M224+ภูเก็ต!M224+ยะลา!M224+ระนอง!M224+สงขลา!M224+สตูล!M224+สุราษฎร์ธานี!M224</f>
        <v>802695</v>
      </c>
      <c r="N224" s="174">
        <f ca="1">กระบี่!N224+ชุมพร!N224+ตรัง!N224+นครศรีธรรมราช!N224+นราธิวาส!N224+ปัตตานี!N224+พังงา!N224+พัทลุง!N224+ภูเก็ต!N224+ยะลา!N224+ระนอง!N224+สงขลา!N224+สตูล!N224+สุราษฎร์ธานี!N224</f>
        <v>605295</v>
      </c>
      <c r="O224" s="175">
        <f ca="1">IF(L224&gt;0,N224*100/L224,0)</f>
        <v>97.277555907334047</v>
      </c>
      <c r="P224" s="175">
        <f ca="1">IF(M224&gt;0,N224*100/M224,0)</f>
        <v>75.407844822753347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กระบี่!L225+ชุมพร!L225+ตรัง!L225+นครศรีธรรมราช!L225+นราธิวาส!L225+ปัตตานี!L225+พังงา!L225+พัทลุง!L225+ภูเก็ต!L225+ยะลา!L225+ระนอง!L225+สงขลา!L225+สตูล!L225+สุราษฎร์ธานี!L225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กระบี่!L226+ชุมพร!L226+ตรัง!L226+นครศรีธรรมราช!L226+นราธิวาส!L226+ปัตตานี!L226+พังงา!L226+พัทลุง!L226+ภูเก็ต!L226+ยะลา!L226+ระนอง!L226+สงขลา!L226+สตูล!L226+สุราษฎร์ธานี!L226</f>
        <v>622235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6" t="s">
        <v>23</v>
      </c>
      <c r="E227" s="575"/>
      <c r="F227" s="89"/>
      <c r="G227" s="83" t="s">
        <v>18</v>
      </c>
      <c r="H227" s="178" t="s">
        <v>12</v>
      </c>
      <c r="I227" s="207"/>
      <c r="J227" s="207"/>
      <c r="K227" s="296"/>
      <c r="L227" s="93">
        <f>กระบี่!L227+ชุมพร!L227+ตรัง!L227+นครศรีธรรมราช!L227+นราธิวาส!L227+ปัตตานี!L227+พังงา!L227+พัทลุง!L227+ภูเก็ต!L227+ยะลา!L227+ระนอง!L227+สงขลา!L227+สตูล!L227+สุราษฎร์ธานี!L227</f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กระบี่!L228+ชุมพร!L228+ตรัง!L228+นครศรีธรรมราช!L228+นราธิวาส!L228+ปัตตานี!L228+พังงา!L228+พัทลุง!L228+ภูเก็ต!L228+ยะลา!L228+ระนอง!L228+สงขลา!L228+สตูล!L228+สุราษฎร์ธานี!L228</f>
        <v>0</v>
      </c>
      <c r="M228" s="101"/>
      <c r="N228" s="91">
        <f ca="1">กระบี่!N228+ชุมพร!N228+ตรัง!N228+นครศรีธรรมราช!N228+นราธิวาส!N228+ปัตตานี!N228+พังงา!N228+พัทลุง!N228+ภูเก็ต!N228+ยะลา!N228+ระนอง!N228+สงขลา!N228+สตูล!N228+สุราษฎร์ธานี!N228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กระบี่!I229+ชุมพร!I229+ตรัง!I229+นครศรีธรรมราช!I229+นราธิวาส!I229+ปัตตานี!I229+พังงา!I229+พัทลุง!I229+ภูเก็ต!I229+ยะลา!I229+ระนอง!I229+สงขลา!I229+สตูล!I229+สุราษฎร์ธานี!I229</f>
        <v>189</v>
      </c>
      <c r="J229" s="273">
        <f ca="1">กระบี่!J229+ชุมพร!J229+ตรัง!J229+นครศรีธรรมราช!J229+นราธิวาส!J229+ปัตตานี!J229+พังงา!J229+พัทลุง!J229+ภูเก็ต!J229+ยะลา!J229+ระนอง!J229+สงขลา!J229+สตูล!J229+สุราษฎร์ธานี!J229</f>
        <v>189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กระบี่!J231+ชุมพร!J231+ตรัง!J231+นครศรีธรรมราช!J231+นราธิวาส!J231+ปัตตานี!J231+พังงา!J231+พัทลุง!J231+ภูเก็ต!J231+ยะลา!J231+ระนอง!J231+สงขลา!J231+สตูล!J231+สุราษฎร์ธานี!J231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กระบี่!J232+ชุมพร!J232+ตรัง!J232+นครศรีธรรมราช!J232+นราธิวาส!J232+ปัตตานี!J232+พังงา!J232+พัทลุง!J232+ภูเก็ต!J232+ยะลา!J232+ระนอง!J232+สงขลา!J232+สตูล!J232+สุราษฎร์ธานี!J232</f>
        <v>13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กระบี่!J233+ชุมพร!J233+ตรัง!J233+นครศรีธรรมราช!J233+นราธิวาส!J233+ปัตตานี!J233+พังงา!J233+พัทลุง!J233+ภูเก็ต!J233+ยะลา!J233+ระนอง!J233+สงขลา!J233+สตูล!J233+สุราษฎร์ธานี!J233</f>
        <v>12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กระบี่!J234+ชุมพร!J234+ตรัง!J234+นครศรีธรรมราช!J234+นราธิวาส!J234+ปัตตานี!J234+พังงา!J234+พัทลุง!J234+ภูเก็ต!J234+ยะลา!J234+ระนอง!J234+สงขลา!J234+สตูล!J234+สุราษฎร์ธานี!J234</f>
        <v>12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กระบี่!I235+ชุมพร!I235+ตรัง!I235+นครศรีธรรมราช!I235+นราธิวาส!I235+ปัตตานี!I235+พังงา!I235+พัทลุง!I235+ภูเก็ต!I235+ยะลา!I235+ระนอง!I235+สงขลา!I235+สตูล!I235+สุราษฎร์ธานี!I235</f>
        <v>189</v>
      </c>
      <c r="J235" s="195">
        <f ca="1">กระบี่!J235+ชุมพร!J235+ตรัง!J235+นครศรีธรรมราช!J235+นราธิวาส!J235+ปัตตานี!J235+พังงา!J235+พัทลุง!J235+ภูเก็ต!J235+ยะลา!J235+ระนอง!J235+สงขลา!J235+สตูล!J235+สุราษฎร์ธานี!J235</f>
        <v>189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กระบี่!J236+ชุมพร!J236+ตรัง!J236+นครศรีธรรมราช!J236+นราธิวาส!J236+ปัตตานี!J236+พังงา!J236+พัทลุง!J236+ภูเก็ต!J236+ยะลา!J236+ระนอง!J236+สงขลา!J236+สตูล!J236+สุราษฎร์ธานี!J236</f>
        <v>4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กระบี่!J237+ชุมพร!J237+ตรัง!J237+นครศรีธรรมราช!J237+นราธิวาส!J237+ปัตตานี!J237+พังงา!J237+พัทลุง!J237+ภูเก็ต!J237+ยะลา!J237+ระนอง!J237+สงขลา!J237+สตูล!J237+สุราษฎร์ธานี!J237</f>
        <v>3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กระบี่!I238+ชุมพร!I238+ตรัง!I238+นครศรีธรรมราช!I238+นราธิวาส!I238+ปัตตานี!I238+พังงา!I238+พัทลุง!I238+ภูเก็ต!I238+ยะลา!I238+ระนอง!I238+สงขลา!I238+สตูล!I238+สุราษฎร์ธานี!I238</f>
        <v>0</v>
      </c>
      <c r="J238" s="273">
        <f ca="1">กระบี่!J238+ชุมพร!J238+ตรัง!J238+นครศรีธรรมราช!J238+นราธิวาส!J238+ปัตตานี!J238+พังงา!J238+พัทลุง!J238+ภูเก็ต!J238+ยะลา!J238+ระนอง!J238+สงขลา!J238+สตูล!J238+สุราษฎร์ธานี!J238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IFERROR(__xludf.DUMMYFUNCTION("IMPORTRANGE(""https://docs.google.com/spreadsheets/d/1SX6NBoVAgQJ6U1MVXOaj8PK2l7WJ3RER9xtqwdhxkhw/edit?usp=sharing"",""กาญจนบุรี!J159"")"),"")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กระบี่!J241+ชุมพร!J241+ตรัง!J241+นครศรีธรรมราช!J241+นราธิวาส!J241+ปัตตานี!J241+พังงา!J241+พัทลุง!J241+ภูเก็ต!J241+ยะลา!J241+ระนอง!J241+สงขลา!J241+สตูล!J241+สุราษฎร์ธานี!J241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กระบี่!J242+ชุมพร!J242+ตรัง!J242+นครศรีธรรมราช!J242+นราธิวาส!J242+ปัตตานี!J242+พังงา!J242+พัทลุง!J242+ภูเก็ต!J242+ยะลา!J242+ระนอง!J242+สงขลา!J242+สตูล!J242+สุราษฎร์ธานี!J242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กระบี่!J243+ชุมพร!J243+ตรัง!J243+นครศรีธรรมราช!J243+นราธิวาส!J243+ปัตตานี!J243+พังงา!J243+พัทลุง!J243+ภูเก็ต!J243+ยะลา!J243+ระนอง!J243+สงขลา!J243+สตูล!J243+สุราษฎร์ธานี!J243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กระบี่!I244+ชุมพร!I244+ตรัง!I244+นครศรีธรรมราช!I244+นราธิวาส!I244+ปัตตานี!I244+พังงา!I244+พัทลุง!I244+ภูเก็ต!I244+ยะลา!I244+ระนอง!I244+สงขลา!I244+สตูล!I244+สุราษฎร์ธานี!I244</f>
        <v>0</v>
      </c>
      <c r="J244" s="194">
        <f ca="1">กระบี่!J244+ชุมพร!J244+ตรัง!J244+นครศรีธรรมราช!J244+นราธิวาส!J244+ปัตตานี!J244+พังงา!J244+พัทลุง!J244+ภูเก็ต!J244+ยะลา!J244+ระนอง!J244+สงขลา!J244+สตูล!J244+สุราษฎร์ธานี!J244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กระบี่!J245+ชุมพร!J245+ตรัง!J245+นครศรีธรรมราช!J245+นราธิวาส!J245+ปัตตานี!J245+พังงา!J245+พัทลุง!J245+ภูเก็ต!J245+ยะลา!J245+ระนอง!J245+สงขลา!J245+สตูล!J245+สุราษฎร์ธานี!J245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กระบี่!J246+ชุมพร!J246+ตรัง!J246+นครศรีธรรมราช!J246+นราธิวาส!J246+ปัตตานี!J246+พังงา!J246+พัทลุง!J246+ภูเก็ต!J246+ยะลา!J246+ระนอง!J246+สงขลา!J246+สตูล!J246+สุราษฎร์ธานี!J246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กระบี่!I249+ชุมพร!I249+ตรัง!I249+นครศรีธรรมราช!I249+นราธิวาส!I249+ปัตตานี!I249+พังงา!I249+พัทลุง!I249+ภูเก็ต!I249+ยะลา!I249+ระนอง!I249+สงขลา!I249+สตูล!I249+สุราษฎร์ธานี!I249</f>
        <v>85</v>
      </c>
      <c r="J249" s="322">
        <f ca="1">กระบี่!J249+ชุมพร!J249+ตรัง!J249+นครศรีธรรมราช!J249+นราธิวาส!J249+ปัตตานี!J249+พังงา!J249+พัทลุง!J249+ภูเก็ต!J249+ยะลา!J249+ระนอง!J249+สงขลา!J249+สตูล!J249+สุราษฎร์ธานี!J249</f>
        <v>85</v>
      </c>
      <c r="K249" s="323">
        <f ca="1">IF(I249&gt;0,J249*100/I249,0)</f>
        <v>100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2" t="s">
        <v>17</v>
      </c>
      <c r="E250" s="573"/>
      <c r="F250" s="573"/>
      <c r="G250" s="573"/>
      <c r="H250" s="153" t="s">
        <v>12</v>
      </c>
      <c r="I250" s="166"/>
      <c r="J250" s="166"/>
      <c r="K250" s="167"/>
      <c r="L250" s="156">
        <f ca="1">กระบี่!L250+ชุมพร!L250+ตรัง!L250+นครศรีธรรมราช!L250+นราธิวาส!L250+ปัตตานี!L250+พังงา!L250+พัทลุง!L250+ภูเก็ต!L250+ยะลา!L250+ระนอง!L250+สงขลา!L250+สตูล!L250+สุราษฎร์ธานี!L250</f>
        <v>435200</v>
      </c>
      <c r="M250" s="156">
        <f ca="1">กระบี่!M250+ชุมพร!M250+ตรัง!M250+นครศรีธรรมราช!M250+นราธิวาส!M250+ปัตตานี!M250+พังงา!M250+พัทลุง!M250+ภูเก็ต!M250+ยะลา!M250+ระนอง!M250+สงขลา!M250+สตูล!M250+สุราษฎร์ธานี!M250</f>
        <v>435200</v>
      </c>
      <c r="N250" s="156">
        <f ca="1">กระบี่!N250+ชุมพร!N250+ตรัง!N250+นครศรีธรรมราช!N250+นราธิวาส!N250+ปัตตานี!N250+พังงา!N250+พัทลุง!N250+ภูเก็ต!N250+ยะลา!N250+ระนอง!N250+สงขลา!N250+สตูล!N250+สุราษฎร์ธานี!N250</f>
        <v>398972.1</v>
      </c>
      <c r="O250" s="155">
        <f t="shared" ref="O250:O252" ca="1" si="60">IF(L250&gt;0,N250*100/L250,0)</f>
        <v>91.675574448529417</v>
      </c>
      <c r="P250" s="155">
        <f t="shared" ref="P250:P252" ca="1" si="61">IF(M250&gt;0,N250*100/M250,0)</f>
        <v>91.675574448529417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>กระบี่!L251+ชุมพร!L251+ตรัง!L251+นครศรีธรรมราช!L251+นราธิวาส!L251+ปัตตานี!L251+พังงา!L251+พัทลุง!L251+ภูเก็ต!L251+ยะลา!L251+ระนอง!L251+สงขลา!L251+สตูล!L251+สุราษฎร์ธานี!L251</f>
        <v>0</v>
      </c>
      <c r="M251" s="161">
        <f>กระบี่!M251+ชุมพร!M251+ตรัง!M251+นครศรีธรรมราช!M251+นราธิวาส!M251+ปัตตานี!M251+พังงา!M251+พัทลุง!M251+ภูเก็ต!M251+ยะลา!M251+ระนอง!M251+สงขลา!M251+สตูล!M251+สุราษฎร์ธานี!M251</f>
        <v>0</v>
      </c>
      <c r="N251" s="161">
        <f>กระบี่!N251+ชุมพร!N251+ตรัง!N251+นครศรีธรรมราช!N251+นราธิวาส!N251+ปัตตานี!N251+พังงา!N251+พัทลุง!N251+ภูเก็ต!N251+ยะลา!N251+ระนอง!N251+สงขลา!N251+สตูล!N251+สุราษฎร์ธานี!N251</f>
        <v>0</v>
      </c>
      <c r="O251" s="160">
        <f t="shared" si="60"/>
        <v>0</v>
      </c>
      <c r="P251" s="160">
        <f t="shared" si="61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ca="1">กระบี่!L252+ชุมพร!L252+ตรัง!L252+นครศรีธรรมราช!L252+นราธิวาส!L252+ปัตตานี!L252+พังงา!L252+พัทลุง!L252+ภูเก็ต!L252+ยะลา!L252+ระนอง!L252+สงขลา!L252+สตูล!L252+สุราษฎร์ธานี!L252</f>
        <v>435200</v>
      </c>
      <c r="M252" s="161">
        <f ca="1">กระบี่!M252+ชุมพร!M252+ตรัง!M252+นครศรีธรรมราช!M252+นราธิวาส!M252+ปัตตานี!M252+พังงา!M252+พัทลุง!M252+ภูเก็ต!M252+ยะลา!M252+ระนอง!M252+สงขลา!M252+สตูล!M252+สุราษฎร์ธานี!M252</f>
        <v>435200</v>
      </c>
      <c r="N252" s="161">
        <f ca="1">กระบี่!N252+ชุมพร!N252+ตรัง!N252+นครศรีธรรมราช!N252+นราธิวาส!N252+ปัตตานี!N252+พังงา!N252+พัทลุง!N252+ภูเก็ต!N252+ยะลา!N252+ระนอง!N252+สงขลา!N252+สตูล!N252+สุราษฎร์ธานี!N252</f>
        <v>398972.1</v>
      </c>
      <c r="O252" s="160">
        <f t="shared" ca="1" si="60"/>
        <v>91.675574448529417</v>
      </c>
      <c r="P252" s="160">
        <f t="shared" ca="1" si="61"/>
        <v>91.675574448529417</v>
      </c>
    </row>
    <row r="253" spans="1:16" ht="21.75" customHeight="1" x14ac:dyDescent="0.3">
      <c r="A253" s="162"/>
      <c r="B253" s="163"/>
      <c r="C253" s="163" t="s">
        <v>16</v>
      </c>
      <c r="D253" s="574" t="s">
        <v>20</v>
      </c>
      <c r="E253" s="575"/>
      <c r="F253" s="575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f>กระบี่!L253+ชุมพร!L253+ตรัง!L253+นครศรีธรรมราช!L253+นราธิวาส!L253+ปัตตานี!L253+พังงา!L253+พัทลุง!L253+ภูเก็ต!L253+ยะลา!L253+ระนอง!L253+สงขลา!L253+สตูล!L253+สุราษฎร์ธานี!L253</f>
        <v>0</v>
      </c>
      <c r="M253" s="168">
        <f>กระบี่!M253+ชุมพร!M253+ตรัง!M253+นครศรีธรรมราช!M253+นราธิวาส!M253+ปัตตานี!M253+พังงา!M253+พัทลุง!M253+ภูเก็ต!M253+ยะลา!M253+ระนอง!M253+สงขลา!M253+สตูล!M253+สุราษฎร์ธานี!M253</f>
        <v>0</v>
      </c>
      <c r="N253" s="168">
        <f>กระบี่!N253+ชุมพร!N253+ตรัง!N253+นครศรีธรรมราช!N253+นราธิวาส!N253+ปัตตานี!N253+พังงา!N253+พัทลุง!N253+ภูเก็ต!N253+ยะลา!N253+ระนอง!N253+สงขลา!N253+สตูล!N253+สุราษฎร์ธานี!N253</f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กระบี่!L254+ชุมพร!L254+ตรัง!L254+นครศรีธรรมราช!L254+นราธิวาส!L254+ปัตตานี!L254+พังงา!L254+พัทลุง!L254+ภูเก็ต!L254+ยะลา!L254+ระนอง!L254+สงขลา!L254+สตูล!L254+สุราษฎร์ธานี!L254</f>
        <v>435200</v>
      </c>
      <c r="M254" s="173">
        <f ca="1">กระบี่!M254+ชุมพร!M254+ตรัง!M254+นครศรีธรรมราช!M254+นราธิวาส!M254+ปัตตานี!M254+พังงา!M254+พัทลุง!M254+ภูเก็ต!M254+ยะลา!M254+ระนอง!M254+สงขลา!M254+สตูล!M254+สุราษฎร์ธานี!M254</f>
        <v>435200</v>
      </c>
      <c r="N254" s="174">
        <f ca="1">กระบี่!N254+ชุมพร!N254+ตรัง!N254+นครศรีธรรมราช!N254+นราธิวาส!N254+ปัตตานี!N254+พังงา!N254+พัทลุง!N254+ภูเก็ต!N254+ยะลา!N254+ระนอง!N254+สงขลา!N254+สตูล!N254+สุราษฎร์ธานี!N254</f>
        <v>398972.1</v>
      </c>
      <c r="O254" s="175">
        <f ca="1">IF(L254&gt;0,N254*100/L254,0)</f>
        <v>91.675574448529417</v>
      </c>
      <c r="P254" s="175">
        <f ca="1">IF(M254&gt;0,N254*100/M254,0)</f>
        <v>91.675574448529417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กระบี่!L255+ชุมพร!L255+ตรัง!L255+นครศรีธรรมราช!L255+นราธิวาส!L255+ปัตตานี!L255+พังงา!L255+พัทลุง!L255+ภูเก็ต!L255+ยะลา!L255+ระนอง!L255+สงขลา!L255+สตูล!L255+สุราษฎร์ธานี!L255</f>
        <v>132000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กระบี่!L256+ชุมพร!L256+ตรัง!L256+นครศรีธรรมราช!L256+นราธิวาส!L256+ปัตตานี!L256+พังงา!L256+พัทลุง!L256+ภูเก็ต!L256+ยะลา!L256+ระนอง!L256+สงขลา!L256+สตูล!L256+สุราษฎร์ธานี!L256</f>
        <v>303200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6" t="s">
        <v>23</v>
      </c>
      <c r="E257" s="575"/>
      <c r="F257" s="89"/>
      <c r="G257" s="83" t="s">
        <v>18</v>
      </c>
      <c r="H257" s="178" t="s">
        <v>12</v>
      </c>
      <c r="I257" s="166"/>
      <c r="J257" s="166"/>
      <c r="K257" s="167"/>
      <c r="L257" s="93">
        <f>กระบี่!L257+ชุมพร!L257+ตรัง!L257+นครศรีธรรมราช!L257+นราธิวาส!L257+ปัตตานี!L257+พังงา!L257+พัทลุง!L257+ภูเก็ต!L257+ยะลา!L257+ระนอง!L257+สงขลา!L257+สตูล!L257+สุราษฎร์ธานี!L257</f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กระบี่!L258+ชุมพร!L258+ตรัง!L258+นครศรีธรรมราช!L258+นราธิวาส!L258+ปัตตานี!L258+พังงา!L258+พัทลุง!L258+ภูเก็ต!L258+ยะลา!L258+ระนอง!L258+สงขลา!L258+สตูล!L258+สุราษฎร์ธานี!L258</f>
        <v>0</v>
      </c>
      <c r="M258" s="101"/>
      <c r="N258" s="91">
        <f ca="1">กระบี่!N258+ชุมพร!N258+ตรัง!N258+นครศรีธรรมราช!N258+นราธิวาส!N258+ปัตตานี!N258+พังงา!N258+พัทลุง!N258+ภูเก็ต!N258+ยะลา!N258+ระนอง!N258+สงขลา!N258+สตูล!N258+สุราษฎร์ธานี!N258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กระบี่!J260+ชุมพร!J260+ตรัง!J260+นครศรีธรรมราช!J260+นราธิวาส!J260+ปัตตานี!J260+พังงา!J260+พัทลุง!J260+ภูเก็ต!J260+ยะลา!J260+ระนอง!J260+สงขลา!J260+สตูล!J260+สุราษฎร์ธานี!J260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กระบี่!J261+ชุมพร!J261+ตรัง!J261+นครศรีธรรมราช!J261+นราธิวาส!J261+ปัตตานี!J261+พังงา!J261+พัทลุง!J261+ภูเก็ต!J261+ยะลา!J261+ระนอง!J261+สงขลา!J261+สตูล!J261+สุราษฎร์ธานี!J261</f>
        <v>4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กระบี่!J262+ชุมพร!J262+ตรัง!J262+นครศรีธรรมราช!J262+นราธิวาส!J262+ปัตตานี!J262+พังงา!J262+พัทลุง!J262+ภูเก็ต!J262+ยะลา!J262+ระนอง!J262+สงขลา!J262+สตูล!J262+สุราษฎร์ธานี!J262</f>
        <v>4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กระบี่!J263+ชุมพร!J263+ตรัง!J263+นครศรีธรรมราช!J263+นราธิวาส!J263+ปัตตานี!J263+พังงา!J263+พัทลุง!J263+ภูเก็ต!J263+ยะลา!J263+ระนอง!J263+สงขลา!J263+สตูล!J263+สุราษฎร์ธานี!J263</f>
        <v>4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กระบี่!I264+ชุมพร!I264+ตรัง!I264+นครศรีธรรมราช!I264+นราธิวาส!I264+ปัตตานี!I264+พังงา!I264+พัทลุง!I264+ภูเก็ต!I264+ยะลา!I264+ระนอง!I264+สงขลา!I264+สตูล!I264+สุราษฎร์ธานี!I264</f>
        <v>4</v>
      </c>
      <c r="J264" s="195">
        <f ca="1">กระบี่!J264+ชุมพร!J264+ตรัง!J264+นครศรีธรรมราช!J264+นราธิวาส!J264+ปัตตานี!J264+พังงา!J264+พัทลุง!J264+ภูเก็ต!J264+ยะลา!J264+ระนอง!J264+สงขลา!J264+สตูล!J264+สุราษฎร์ธานี!J264</f>
        <v>3</v>
      </c>
      <c r="K264" s="167">
        <f ca="1">IF(I264&gt;0,J264*100/I264,0)</f>
        <v>75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กระบี่!I265+ชุมพร!I265+ตรัง!I265+นครศรีธรรมราช!I265+นราธิวาส!I265+ปัตตานี!I265+พังงา!I265+พัทลุง!I265+ภูเก็ต!I265+ยะลา!I265+ระนอง!I265+สงขลา!I265+สตูล!I265+สุราษฎร์ธานี!I265</f>
        <v>85</v>
      </c>
      <c r="J265" s="195">
        <f ca="1">กระบี่!J265+ชุมพร!J265+ตรัง!J265+นครศรีธรรมราช!J265+นราธิวาส!J265+ปัตตานี!J265+พังงา!J265+พัทลุง!J265+ภูเก็ต!J265+ยะลา!J265+ระนอง!J265+สงขลา!J265+สตูล!J265+สุราษฎร์ธานี!J265</f>
        <v>85</v>
      </c>
      <c r="K265" s="167">
        <f ca="1">IF(I265&gt;0,J265*100/I265,0)</f>
        <v>100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กระบี่!I266+ชุมพร!I266+ตรัง!I266+นครศรีธรรมราช!I266+นราธิวาส!I266+ปัตตานี!I266+พังงา!I266+พัทลุง!I266+ภูเก็ต!I266+ยะลา!I266+ระนอง!I266+สงขลา!I266+สตูล!I266+สุราษฎร์ธานี!I266</f>
        <v>85</v>
      </c>
      <c r="J266" s="195">
        <f ca="1">กระบี่!J266+ชุมพร!J266+ตรัง!J266+นครศรีธรรมราช!J266+นราธิวาส!J266+ปัตตานี!J266+พังงา!J266+พัทลุง!J266+ภูเก็ต!J266+ยะลา!J266+ระนอง!J266+สงขลา!J266+สตูล!J266+สุราษฎร์ธานี!J266</f>
        <v>65</v>
      </c>
      <c r="K266" s="167">
        <f ca="1">IF(I266&gt;0,J266*100/I266,0)</f>
        <v>76.470588235294116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กระบี่!I267+ชุมพร!I267+ตรัง!I267+นครศรีธรรมราช!I267+นราธิวาส!I267+ปัตตานี!I267+พังงา!I267+พัทลุง!I267+ภูเก็ต!I267+ยะลา!I267+ระนอง!I267+สงขลา!I267+สตูล!I267+สุราษฎร์ธานี!I267</f>
        <v>4</v>
      </c>
      <c r="J267" s="195">
        <f ca="1">กระบี่!J267+ชุมพร!J267+ตรัง!J267+นครศรีธรรมราช!J267+นราธิวาส!J267+ปัตตานี!J267+พังงา!J267+พัทลุง!J267+ภูเก็ต!J267+ยะลา!J267+ระนอง!J267+สงขลา!J267+สตูล!J267+สุราษฎร์ธานี!J267</f>
        <v>4</v>
      </c>
      <c r="K267" s="167">
        <f ca="1">IF(I267&gt;0,J267*100/I267,0)</f>
        <v>100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กระบี่!J268+ชุมพร!J268+ตรัง!J268+นครศรีธรรมราช!J268+นราธิวาส!J268+ปัตตานี!J268+พังงา!J268+พัทลุง!J268+ภูเก็ต!J268+ยะลา!J268+ระนอง!J268+สงขลา!J268+สตูล!J268+สุราษฎร์ธานี!J268</f>
        <v>2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กระบี่!J269+ชุมพร!J269+ตรัง!J269+นครศรีธรรมราช!J269+นราธิวาส!J269+ปัตตานี!J269+พังงา!J269+พัทลุง!J269+ภูเก็ต!J269+ยะลา!J269+ระนอง!J269+สงขลา!J269+สตูล!J269+สุราษฎร์ธานี!J269</f>
        <v>2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กระบี่!I270+ชุมพร!I270+ตรัง!I270+นครศรีธรรมราช!I270+นราธิวาส!I270+ปัตตานี!I270+พังงา!I270+พัทลุง!I270+ภูเก็ต!I270+ยะลา!I270+ระนอง!I270+สงขลา!I270+สตูล!I270+สุราษฎร์ธานี!I270</f>
        <v>85</v>
      </c>
      <c r="J270" s="322">
        <f ca="1">กระบี่!J270+ชุมพร!J270+ตรัง!J270+นครศรีธรรมราช!J270+นราธิวาส!J270+ปัตตานี!J270+พังงา!J270+พัทลุง!J270+ภูเก็ต!J270+ยะลา!J270+ระนอง!J270+สงขลา!J270+สตูล!J270+สุราษฎร์ธานี!J270</f>
        <v>85</v>
      </c>
      <c r="K270" s="323">
        <f ca="1">IF(I270&gt;0,J270*100/I270,0)</f>
        <v>100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2" t="s">
        <v>17</v>
      </c>
      <c r="E271" s="573"/>
      <c r="F271" s="573"/>
      <c r="G271" s="573"/>
      <c r="H271" s="153" t="s">
        <v>12</v>
      </c>
      <c r="I271" s="166"/>
      <c r="J271" s="166"/>
      <c r="K271" s="167"/>
      <c r="L271" s="156">
        <f ca="1">กระบี่!L271+ชุมพร!L271+ตรัง!L271+นครศรีธรรมราช!L271+นราธิวาส!L271+ปัตตานี!L271+พังงา!L271+พัทลุง!L271+ภูเก็ต!L271+ยะลา!L271+ระนอง!L271+สงขลา!L271+สตูล!L271+สุราษฎร์ธานี!L271</f>
        <v>1227060</v>
      </c>
      <c r="M271" s="156">
        <f ca="1">กระบี่!M271+ชุมพร!M271+ตรัง!M271+นครศรีธรรมราช!M271+นราธิวาส!M271+ปัตตานี!M271+พังงา!M271+พัทลุง!M271+ภูเก็ต!M271+ยะลา!M271+ระนอง!M271+สงขลา!M271+สตูล!M271+สุราษฎร์ธานี!M271</f>
        <v>1227060</v>
      </c>
      <c r="N271" s="156">
        <f ca="1">กระบี่!N271+ชุมพร!N271+ตรัง!N271+นครศรีธรรมราช!N271+นราธิวาส!N271+ปัตตานี!N271+พังงา!N271+พัทลุง!N271+ภูเก็ต!N271+ยะลา!N271+ระนอง!N271+สงขลา!N271+สตูล!N271+สุราษฎร์ธานี!N271</f>
        <v>989066.84000000008</v>
      </c>
      <c r="O271" s="155">
        <f t="shared" ref="O271:O273" ca="1" si="62">IF(L271&gt;0,N271*100/L271,0)</f>
        <v>80.604602871905215</v>
      </c>
      <c r="P271" s="155">
        <f t="shared" ref="P271:P273" ca="1" si="63">IF(M271&gt;0,N271*100/M271,0)</f>
        <v>80.604602871905215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>กระบี่!L272+ชุมพร!L272+ตรัง!L272+นครศรีธรรมราช!L272+นราธิวาส!L272+ปัตตานี!L272+พังงา!L272+พัทลุง!L272+ภูเก็ต!L272+ยะลา!L272+ระนอง!L272+สงขลา!L272+สตูล!L272+สุราษฎร์ธานี!L272</f>
        <v>0</v>
      </c>
      <c r="M272" s="161">
        <f>กระบี่!M272+ชุมพร!M272+ตรัง!M272+นครศรีธรรมราช!M272+นราธิวาส!M272+ปัตตานี!M272+พังงา!M272+พัทลุง!M272+ภูเก็ต!M272+ยะลา!M272+ระนอง!M272+สงขลา!M272+สตูล!M272+สุราษฎร์ธานี!M272</f>
        <v>0</v>
      </c>
      <c r="N272" s="161">
        <f>กระบี่!N272+ชุมพร!N272+ตรัง!N272+นครศรีธรรมราช!N272+นราธิวาส!N272+ปัตตานี!N272+พังงา!N272+พัทลุง!N272+ภูเก็ต!N272+ยะลา!N272+ระนอง!N272+สงขลา!N272+สตูล!N272+สุราษฎร์ธานี!N272</f>
        <v>0</v>
      </c>
      <c r="O272" s="160">
        <f t="shared" si="62"/>
        <v>0</v>
      </c>
      <c r="P272" s="160">
        <f t="shared" si="63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ca="1">กระบี่!L273+ชุมพร!L273+ตรัง!L273+นครศรีธรรมราช!L273+นราธิวาส!L273+ปัตตานี!L273+พังงา!L273+พัทลุง!L273+ภูเก็ต!L273+ยะลา!L273+ระนอง!L273+สงขลา!L273+สตูล!L273+สุราษฎร์ธานี!L273</f>
        <v>1227060</v>
      </c>
      <c r="M273" s="161">
        <f ca="1">กระบี่!M273+ชุมพร!M273+ตรัง!M273+นครศรีธรรมราช!M273+นราธิวาส!M273+ปัตตานี!M273+พังงา!M273+พัทลุง!M273+ภูเก็ต!M273+ยะลา!M273+ระนอง!M273+สงขลา!M273+สตูล!M273+สุราษฎร์ธานี!M273</f>
        <v>1227060</v>
      </c>
      <c r="N273" s="161">
        <f ca="1">กระบี่!N273+ชุมพร!N273+ตรัง!N273+นครศรีธรรมราช!N273+นราธิวาส!N273+ปัตตานี!N273+พังงา!N273+พัทลุง!N273+ภูเก็ต!N273+ยะลา!N273+ระนอง!N273+สงขลา!N273+สตูล!N273+สุราษฎร์ธานี!N273</f>
        <v>989066.84000000008</v>
      </c>
      <c r="O273" s="160">
        <f t="shared" ca="1" si="62"/>
        <v>80.604602871905215</v>
      </c>
      <c r="P273" s="160">
        <f t="shared" ca="1" si="63"/>
        <v>80.604602871905215</v>
      </c>
    </row>
    <row r="274" spans="1:16" ht="21.75" customHeight="1" x14ac:dyDescent="0.3">
      <c r="A274" s="162"/>
      <c r="B274" s="163"/>
      <c r="C274" s="163" t="s">
        <v>16</v>
      </c>
      <c r="D274" s="574" t="s">
        <v>20</v>
      </c>
      <c r="E274" s="575"/>
      <c r="F274" s="575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f>กระบี่!L274+ชุมพร!L274+ตรัง!L274+นครศรีธรรมราช!L274+นราธิวาส!L274+ปัตตานี!L274+พังงา!L274+พัทลุง!L274+ภูเก็ต!L274+ยะลา!L274+ระนอง!L274+สงขลา!L274+สตูล!L274+สุราษฎร์ธานี!L274</f>
        <v>0</v>
      </c>
      <c r="M274" s="168">
        <f>กระบี่!M274+ชุมพร!M274+ตรัง!M274+นครศรีธรรมราช!M274+นราธิวาส!M274+ปัตตานี!M274+พังงา!M274+พัทลุง!M274+ภูเก็ต!M274+ยะลา!M274+ระนอง!M274+สงขลา!M274+สตูล!M274+สุราษฎร์ธานี!M274</f>
        <v>0</v>
      </c>
      <c r="N274" s="168">
        <f>กระบี่!N274+ชุมพร!N274+ตรัง!N274+นครศรีธรรมราช!N274+นราธิวาส!N274+ปัตตานี!N274+พังงา!N274+พัทลุง!N274+ภูเก็ต!N274+ยะลา!N274+ระนอง!N274+สงขลา!N274+สตูล!N274+สุราษฎร์ธานี!N274</f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กระบี่!L275+ชุมพร!L275+ตรัง!L275+นครศรีธรรมราช!L275+นราธิวาส!L275+ปัตตานี!L275+พังงา!L275+พัทลุง!L275+ภูเก็ต!L275+ยะลา!L275+ระนอง!L275+สงขลา!L275+สตูล!L275+สุราษฎร์ธานี!L275</f>
        <v>1227060</v>
      </c>
      <c r="M275" s="173">
        <f ca="1">กระบี่!M275+ชุมพร!M275+ตรัง!M275+นครศรีธรรมราช!M275+นราธิวาส!M275+ปัตตานี!M275+พังงา!M275+พัทลุง!M275+ภูเก็ต!M275+ยะลา!M275+ระนอง!M275+สงขลา!M275+สตูล!M275+สุราษฎร์ธานี!M275</f>
        <v>1227060</v>
      </c>
      <c r="N275" s="174">
        <f ca="1">กระบี่!N275+ชุมพร!N275+ตรัง!N275+นครศรีธรรมราช!N275+นราธิวาส!N275+ปัตตานี!N275+พังงา!N275+พัทลุง!N275+ภูเก็ต!N275+ยะลา!N275+ระนอง!N275+สงขลา!N275+สตูล!N275+สุราษฎร์ธานี!N275</f>
        <v>989066.84000000008</v>
      </c>
      <c r="O275" s="175">
        <f ca="1">IF(L275&gt;0,N275*100/L275,0)</f>
        <v>80.604602871905215</v>
      </c>
      <c r="P275" s="175">
        <f ca="1">IF(M275&gt;0,N275*100/M275,0)</f>
        <v>80.604602871905215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กระบี่!L276+ชุมพร!L276+ตรัง!L276+นครศรีธรรมราช!L276+นราธิวาส!L276+ปัตตานี!L276+พังงา!L276+พัทลุง!L276+ภูเก็ต!L276+ยะลา!L276+ระนอง!L276+สงขลา!L276+สตูล!L276+สุราษฎร์ธานี!L276</f>
        <v>660000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กระบี่!L277+ชุมพร!L277+ตรัง!L277+นครศรีธรรมราช!L277+นราธิวาส!L277+ปัตตานี!L277+พังงา!L277+พัทลุง!L277+ภูเก็ต!L277+ยะลา!L277+ระนอง!L277+สงขลา!L277+สตูล!L277+สุราษฎร์ธานี!L277</f>
        <v>567060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6" t="s">
        <v>23</v>
      </c>
      <c r="E278" s="575"/>
      <c r="F278" s="89"/>
      <c r="G278" s="83" t="s">
        <v>18</v>
      </c>
      <c r="H278" s="178" t="s">
        <v>12</v>
      </c>
      <c r="I278" s="166"/>
      <c r="J278" s="166"/>
      <c r="K278" s="167"/>
      <c r="L278" s="93">
        <f>กระบี่!L278+ชุมพร!L278+ตรัง!L278+นครศรีธรรมราช!L278+นราธิวาส!L278+ปัตตานี!L278+พังงา!L278+พัทลุง!L278+ภูเก็ต!L278+ยะลา!L278+ระนอง!L278+สงขลา!L278+สตูล!L278+สุราษฎร์ธานี!L278</f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กระบี่!L279+ชุมพร!L279+ตรัง!L279+นครศรีธรรมราช!L279+นราธิวาส!L279+ปัตตานี!L279+พังงา!L279+พัทลุง!L279+ภูเก็ต!L279+ยะลา!L279+ระนอง!L279+สงขลา!L279+สตูล!L279+สุราษฎร์ธานี!L279</f>
        <v>0</v>
      </c>
      <c r="M279" s="101"/>
      <c r="N279" s="91">
        <f ca="1">กระบี่!N279+ชุมพร!N279+ตรัง!N279+นครศรีธรรมราช!N279+นราธิวาส!N279+ปัตตานี!N279+พังงา!N279+พัทลุง!N279+ภูเก็ต!N279+ยะลา!N279+ระนอง!N279+สงขลา!N279+สตูล!N279+สุราษฎร์ธานี!N279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กระบี่!J281+ชุมพร!J281+ตรัง!J281+นครศรีธรรมราช!J281+นราธิวาส!J281+ปัตตานี!J281+พังงา!J281+พัทลุง!J281+ภูเก็ต!J281+ยะลา!J281+ระนอง!J281+สงขลา!J281+สตูล!J281+สุราษฎร์ธานี!J281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กระบี่!J282+ชุมพร!J282+ตรัง!J282+นครศรีธรรมราช!J282+นราธิวาส!J282+ปัตตานี!J282+พังงา!J282+พัทลุง!J282+ภูเก็ต!J282+ยะลา!J282+ระนอง!J282+สงขลา!J282+สตูล!J282+สุราษฎร์ธานี!J282</f>
        <v>5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กระบี่!J283+ชุมพร!J283+ตรัง!J283+นครศรีธรรมราช!J283+นราธิวาส!J283+ปัตตานี!J283+พังงา!J283+พัทลุง!J283+ภูเก็ต!J283+ยะลา!J283+ระนอง!J283+สงขลา!J283+สตูล!J283+สุราษฎร์ธานี!J283</f>
        <v>5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กระบี่!J284+ชุมพร!J284+ตรัง!J284+นครศรีธรรมราช!J284+นราธิวาส!J284+ปัตตานี!J284+พังงา!J284+พัทลุง!J284+ภูเก็ต!J284+ยะลา!J284+ระนอง!J284+สงขลา!J284+สตูล!J284+สุราษฎร์ธานี!J284</f>
        <v>5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กระบี่!I285+ชุมพร!I285+ตรัง!I285+นครศรีธรรมราช!I285+นราธิวาส!I285+ปัตตานี!I285+พังงา!I285+พัทลุง!I285+ภูเก็ต!I285+ยะลา!I285+ระนอง!I285+สงขลา!I285+สตูล!I285+สุราษฎร์ธานี!I285</f>
        <v>85</v>
      </c>
      <c r="J285" s="195">
        <f ca="1">กระบี่!J285+ชุมพร!J285+ตรัง!J285+นครศรีธรรมราช!J285+นราธิวาส!J285+ปัตตานี!J285+พังงา!J285+พัทลุง!J285+ภูเก็ต!J285+ยะลา!J285+ระนอง!J285+สงขลา!J285+สตูล!J285+สุราษฎร์ธานี!J285</f>
        <v>85</v>
      </c>
      <c r="K285" s="167">
        <f ca="1">IF(I285&gt;0,J285*100/I285,0)</f>
        <v>100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กระบี่!J286+ชุมพร!J286+ตรัง!J286+นครศรีธรรมราช!J286+นราธิวาส!J286+ปัตตานี!J286+พังงา!J286+พัทลุง!J286+ภูเก็ต!J286+ยะลา!J286+ระนอง!J286+สงขลา!J286+สตูล!J286+สุราษฎร์ธานี!J286</f>
        <v>1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กระบี่!J287+ชุมพร!J287+ตรัง!J287+นครศรีธรรมราช!J287+นราธิวาส!J287+ปัตตานี!J287+พังงา!J287+พัทลุง!J287+ภูเก็ต!J287+ยะลา!J287+ระนอง!J287+สงขลา!J287+สตูล!J287+สุราษฎร์ธานี!J287</f>
        <v>1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กระบี่!I289+ชุมพร!I289+ตรัง!I289+นครศรีธรรมราช!I289+นราธิวาส!I289+ปัตตานี!I289+พังงา!I289+พัทลุง!I289+ภูเก็ต!I289+ยะลา!I289+ระนอง!I289+สงขลา!I289+สตูล!I289+สุราษฎร์ธานี!I289</f>
        <v>125</v>
      </c>
      <c r="J289" s="322">
        <f ca="1">กระบี่!J289+ชุมพร!J289+ตรัง!J289+นครศรีธรรมราช!J289+นราธิวาส!J289+ปัตตานี!J289+พังงา!J289+พัทลุง!J289+ภูเก็ต!J289+ยะลา!J289+ระนอง!J289+สงขลา!J289+สตูล!J289+สุราษฎร์ธานี!J289</f>
        <v>125</v>
      </c>
      <c r="K289" s="323">
        <f ca="1">IF(I289&gt;0,J289*100/I289,0)</f>
        <v>100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2" t="s">
        <v>17</v>
      </c>
      <c r="E290" s="573"/>
      <c r="F290" s="573"/>
      <c r="G290" s="573"/>
      <c r="H290" s="153" t="s">
        <v>12</v>
      </c>
      <c r="I290" s="194"/>
      <c r="J290" s="194"/>
      <c r="K290" s="230"/>
      <c r="L290" s="156">
        <f ca="1">กระบี่!L290+ชุมพร!L290+ตรัง!L290+นครศรีธรรมราช!L290+นราธิวาส!L290+ปัตตานี!L290+พังงา!L290+พัทลุง!L290+ภูเก็ต!L290+ยะลา!L290+ระนอง!L290+สงขลา!L290+สตูล!L290+สุราษฎร์ธานี!L290</f>
        <v>927180</v>
      </c>
      <c r="M290" s="156">
        <f ca="1">กระบี่!M290+ชุมพร!M290+ตรัง!M290+นครศรีธรรมราช!M290+นราธิวาส!M290+ปัตตานี!M290+พังงา!M290+พัทลุง!M290+ภูเก็ต!M290+ยะลา!M290+ระนอง!M290+สงขลา!M290+สตูล!M290+สุราษฎร์ธานี!M290</f>
        <v>957180</v>
      </c>
      <c r="N290" s="156">
        <f ca="1">กระบี่!N290+ชุมพร!N290+ตรัง!N290+นครศรีธรรมราช!N290+นราธิวาส!N290+ปัตตานี!N290+พังงา!N290+พัทลุง!N290+ภูเก็ต!N290+ยะลา!N290+ระนอง!N290+สงขลา!N290+สตูล!N290+สุราษฎร์ธานี!N290</f>
        <v>955781</v>
      </c>
      <c r="O290" s="155">
        <f t="shared" ref="O290:O292" ca="1" si="64">IF(L290&gt;0,N290*100/L290,0)</f>
        <v>103.08473004163162</v>
      </c>
      <c r="P290" s="155">
        <f t="shared" ref="P290:P292" ca="1" si="65">IF(M290&gt;0,N290*100/M290,0)</f>
        <v>99.853841492718189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>กระบี่!L291+ชุมพร!L291+ตรัง!L291+นครศรีธรรมราช!L291+นราธิวาส!L291+ปัตตานี!L291+พังงา!L291+พัทลุง!L291+ภูเก็ต!L291+ยะลา!L291+ระนอง!L291+สงขลา!L291+สตูล!L291+สุราษฎร์ธานี!L291</f>
        <v>0</v>
      </c>
      <c r="M291" s="161">
        <f>กระบี่!M291+ชุมพร!M291+ตรัง!M291+นครศรีธรรมราช!M291+นราธิวาส!M291+ปัตตานี!M291+พังงา!M291+พัทลุง!M291+ภูเก็ต!M291+ยะลา!M291+ระนอง!M291+สงขลา!M291+สตูล!M291+สุราษฎร์ธานี!M291</f>
        <v>0</v>
      </c>
      <c r="N291" s="161">
        <f>กระบี่!N291+ชุมพร!N291+ตรัง!N291+นครศรีธรรมราช!N291+นราธิวาส!N291+ปัตตานี!N291+พังงา!N291+พัทลุง!N291+ภูเก็ต!N291+ยะลา!N291+ระนอง!N291+สงขลา!N291+สตูล!N291+สุราษฎร์ธานี!N291</f>
        <v>0</v>
      </c>
      <c r="O291" s="160">
        <f t="shared" si="64"/>
        <v>0</v>
      </c>
      <c r="P291" s="160">
        <f t="shared" si="65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ca="1">กระบี่!L292+ชุมพร!L292+ตรัง!L292+นครศรีธรรมราช!L292+นราธิวาส!L292+ปัตตานี!L292+พังงา!L292+พัทลุง!L292+ภูเก็ต!L292+ยะลา!L292+ระนอง!L292+สงขลา!L292+สตูล!L292+สุราษฎร์ธานี!L292</f>
        <v>927180</v>
      </c>
      <c r="M292" s="161">
        <f ca="1">กระบี่!M292+ชุมพร!M292+ตรัง!M292+นครศรีธรรมราช!M292+นราธิวาส!M292+ปัตตานี!M292+พังงา!M292+พัทลุง!M292+ภูเก็ต!M292+ยะลา!M292+ระนอง!M292+สงขลา!M292+สตูล!M292+สุราษฎร์ธานี!M292</f>
        <v>957180</v>
      </c>
      <c r="N292" s="161">
        <f ca="1">กระบี่!N292+ชุมพร!N292+ตรัง!N292+นครศรีธรรมราช!N292+นราธิวาส!N292+ปัตตานี!N292+พังงา!N292+พัทลุง!N292+ภูเก็ต!N292+ยะลา!N292+ระนอง!N292+สงขลา!N292+สตูล!N292+สุราษฎร์ธานี!N292</f>
        <v>955781</v>
      </c>
      <c r="O292" s="160">
        <f t="shared" ca="1" si="64"/>
        <v>103.08473004163162</v>
      </c>
      <c r="P292" s="160">
        <f t="shared" ca="1" si="65"/>
        <v>99.853841492718189</v>
      </c>
    </row>
    <row r="293" spans="1:16" ht="21.75" customHeight="1" x14ac:dyDescent="0.3">
      <c r="A293" s="162"/>
      <c r="B293" s="163"/>
      <c r="C293" s="163" t="s">
        <v>16</v>
      </c>
      <c r="D293" s="574" t="s">
        <v>20</v>
      </c>
      <c r="E293" s="575"/>
      <c r="F293" s="575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f>กระบี่!L293+ชุมพร!L293+ตรัง!L293+นครศรีธรรมราช!L293+นราธิวาส!L293+ปัตตานี!L293+พังงา!L293+พัทลุง!L293+ภูเก็ต!L293+ยะลา!L293+ระนอง!L293+สงขลา!L293+สตูล!L293+สุราษฎร์ธานี!L293</f>
        <v>0</v>
      </c>
      <c r="M293" s="168">
        <f>กระบี่!M293+ชุมพร!M293+ตรัง!M293+นครศรีธรรมราช!M293+นราธิวาส!M293+ปัตตานี!M293+พังงา!M293+พัทลุง!M293+ภูเก็ต!M293+ยะลา!M293+ระนอง!M293+สงขลา!M293+สตูล!M293+สุราษฎร์ธานี!M293</f>
        <v>0</v>
      </c>
      <c r="N293" s="168">
        <f>กระบี่!N293+ชุมพร!N293+ตรัง!N293+นครศรีธรรมราช!N293+นราธิวาส!N293+ปัตตานี!N293+พังงา!N293+พัทลุง!N293+ภูเก็ต!N293+ยะลา!N293+ระนอง!N293+สงขลา!N293+สตูล!N293+สุราษฎร์ธานี!N293</f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กระบี่!L294+ชุมพร!L294+ตรัง!L294+นครศรีธรรมราช!L294+นราธิวาส!L294+ปัตตานี!L294+พังงา!L294+พัทลุง!L294+ภูเก็ต!L294+ยะลา!L294+ระนอง!L294+สงขลา!L294+สตูล!L294+สุราษฎร์ธานี!L294</f>
        <v>445180</v>
      </c>
      <c r="M294" s="173">
        <f ca="1">กระบี่!M294+ชุมพร!M294+ตรัง!M294+นครศรีธรรมราช!M294+นราธิวาส!M294+ปัตตานี!M294+พังงา!M294+พัทลุง!M294+ภูเก็ต!M294+ยะลา!M294+ระนอง!M294+สงขลา!M294+สตูล!M294+สุราษฎร์ธานี!M294</f>
        <v>475180</v>
      </c>
      <c r="N294" s="174">
        <f ca="1">กระบี่!N294+ชุมพร!N294+ตรัง!N294+นครศรีธรรมราช!N294+นราธิวาส!N294+ปัตตานี!N294+พังงา!N294+พัทลุง!N294+ภูเก็ต!N294+ยะลา!N294+ระนอง!N294+สงขลา!N294+สตูล!N294+สุราษฎร์ธานี!N294</f>
        <v>473781</v>
      </c>
      <c r="O294" s="175">
        <f ca="1">IF(L294&gt;0,N294*100/L294,0)</f>
        <v>106.42459229974392</v>
      </c>
      <c r="P294" s="175">
        <f ca="1">IF(M294&gt;0,N294*100/M294,0)</f>
        <v>99.705585251904537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กระบี่!L295+ชุมพร!L295+ตรัง!L295+นครศรีธรรมราช!L295+นราธิวาส!L295+ปัตตานี!L295+พังงา!L295+พัทลุง!L295+ภูเก็ต!L295+ยะลา!L295+ระนอง!L295+สงขลา!L295+สตูล!L295+สุราษฎร์ธานี!L295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กระบี่!L296+ชุมพร!L296+ตรัง!L296+นครศรีธรรมราช!L296+นราธิวาส!L296+ปัตตานี!L296+พังงา!L296+พัทลุง!L296+ภูเก็ต!L296+ยะลา!L296+ระนอง!L296+สงขลา!L296+สตูล!L296+สุราษฎร์ธานี!L296</f>
        <v>445180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6" t="s">
        <v>23</v>
      </c>
      <c r="E297" s="575"/>
      <c r="F297" s="89"/>
      <c r="G297" s="83" t="s">
        <v>18</v>
      </c>
      <c r="H297" s="178" t="s">
        <v>12</v>
      </c>
      <c r="I297" s="194"/>
      <c r="J297" s="194"/>
      <c r="K297" s="230"/>
      <c r="L297" s="93">
        <f>กระบี่!L297+ชุมพร!L297+ตรัง!L297+นครศรีธรรมราช!L297+นราธิวาส!L297+ปัตตานี!L297+พังงา!L297+พัทลุง!L297+ภูเก็ต!L297+ยะลา!L297+ระนอง!L297+สงขลา!L297+สตูล!L297+สุราษฎร์ธานี!L297</f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กระบี่!L298+ชุมพร!L298+ตรัง!L298+นครศรีธรรมราช!L298+นราธิวาส!L298+ปัตตานี!L298+พังงา!L298+พัทลุง!L298+ภูเก็ต!L298+ยะลา!L298+ระนอง!L298+สงขลา!L298+สตูล!L298+สุราษฎร์ธานี!L298</f>
        <v>482000</v>
      </c>
      <c r="M298" s="101">
        <f ca="1">กระบี่!M298+ชุมพร!M298+ตรัง!M298+นครศรีธรรมราช!M298+นราธิวาส!M298+ปัตตานี!M298+พังงา!M298+พัทลุง!M298+ภูเก็ต!M298+ยะลา!M298+ระนอง!M298+สงขลา!M298+สตูล!M298+สุราษฎร์ธานี!M298</f>
        <v>482000</v>
      </c>
      <c r="N298" s="91">
        <f ca="1">กระบี่!N298+ชุมพร!N298+ตรัง!N298+นครศรีธรรมราช!N298+นราธิวาส!N298+ปัตตานี!N298+พังงา!N298+พัทลุง!N298+ภูเก็ต!N298+ยะลา!N298+ระนอง!N298+สงขลา!N298+สตูล!N298+สุราษฎร์ธานี!N298</f>
        <v>482000</v>
      </c>
      <c r="O298" s="101">
        <f ca="1">IF(L298&gt;0,N298*100/L298,0)</f>
        <v>100</v>
      </c>
      <c r="P298" s="101">
        <f ca="1">IF(M298&gt;0,N298*100/M298,0)</f>
        <v>100</v>
      </c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กระบี่!J300+ชุมพร!J300+ตรัง!J300+นครศรีธรรมราช!J300+นราธิวาส!J300+ปัตตานี!J300+พังงา!J300+พัทลุง!J300+ภูเก็ต!J300+ยะลา!J300+ระนอง!J300+สงขลา!J300+สตูล!J300+สุราษฎร์ธานี!J300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กระบี่!J301+ชุมพร!J301+ตรัง!J301+นครศรีธรรมราช!J301+นราธิวาส!J301+ปัตตานี!J301+พังงา!J301+พัทลุง!J301+ภูเก็ต!J301+ยะลา!J301+ระนอง!J301+สงขลา!J301+สตูล!J301+สุราษฎร์ธานี!J301</f>
        <v>4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กระบี่!J302+ชุมพร!J302+ตรัง!J302+นครศรีธรรมราช!J302+นราธิวาส!J302+ปัตตานี!J302+พังงา!J302+พัทลุง!J302+ภูเก็ต!J302+ยะลา!J302+ระนอง!J302+สงขลา!J302+สตูล!J302+สุราษฎร์ธานี!J302</f>
        <v>4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กระบี่!J303+ชุมพร!J303+ตรัง!J303+นครศรีธรรมราช!J303+นราธิวาส!J303+ปัตตานี!J303+พังงา!J303+พัทลุง!J303+ภูเก็ต!J303+ยะลา!J303+ระนอง!J303+สงขลา!J303+สตูล!J303+สุราษฎร์ธานี!J303</f>
        <v>4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กระบี่!I304+ชุมพร!I304+ตรัง!I304+นครศรีธรรมราช!I304+นราธิวาส!I304+ปัตตานี!I304+พังงา!I304+พัทลุง!I304+ภูเก็ต!I304+ยะลา!I304+ระนอง!I304+สงขลา!I304+สตูล!I304+สุราษฎร์ธานี!I304</f>
        <v>125</v>
      </c>
      <c r="J304" s="210">
        <f ca="1">กระบี่!J304+ชุมพร!J304+ตรัง!J304+นครศรีธรรมราช!J304+นราธิวาส!J304+ปัตตานี!J304+พังงา!J304+พัทลุง!J304+ภูเก็ต!J304+ยะลา!J304+ระนอง!J304+สงขลา!J304+สตูล!J304+สุราษฎร์ธานี!J304</f>
        <v>125</v>
      </c>
      <c r="K304" s="230">
        <f ca="1">IF(I304&gt;0,J304*100/I304,0)</f>
        <v>100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กระบี่!I306+ชุมพร!I306+ตรัง!I306+นครศรีธรรมราช!I306+นราธิวาส!I306+ปัตตานี!I306+พังงา!I306+พัทลุง!I306+ภูเก็ต!I306+ยะลา!I306+ระนอง!I306+สงขลา!I306+สตูล!I306+สุราษฎร์ธานี!I306</f>
        <v>125</v>
      </c>
      <c r="J306" s="210">
        <f ca="1">กระบี่!J306+ชุมพร!J306+ตรัง!J306+นครศรีธรรมราช!J306+นราธิวาส!J306+ปัตตานี!J306+พังงา!J306+พัทลุง!J306+ภูเก็ต!J306+ยะลา!J306+ระนอง!J306+สงขลา!J306+สตูล!J306+สุราษฎร์ธานี!J306</f>
        <v>60</v>
      </c>
      <c r="K306" s="230">
        <f ca="1">IF(I306&gt;0,J306*100/I306,0)</f>
        <v>48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IFERROR(__xludf.DUMMYFUNCTION("IMPORTRANGE(""https://docs.google.com/spreadsheets/d/1SX6NBoVAgQJ6U1MVXOaj8PK2l7WJ3RER9xtqwdhxkhw/edit?usp=sharing"",""กาญจนบุรี!J212"")"),0)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กระบี่!J308+ชุมพร!J308+ตรัง!J308+นครศรีธรรมราช!J308+นราธิวาส!J308+ปัตตานี!J308+พังงา!J308+พัทลุง!J308+ภูเก็ต!J308+ยะลา!J308+ระนอง!J308+สงขลา!J308+สตูล!J308+สุราษฎร์ธานี!J308</f>
        <v>1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กระบี่!I309+ชุมพร!I309+ตรัง!I309+นครศรีธรรมราช!I309+นราธิวาส!I309+ปัตตานี!I309+พังงา!I309+พัทลุง!I309+ภูเก็ต!I309+ยะลา!I309+ระนอง!I309+สงขลา!I309+สตูล!I309+สุราษฎร์ธานี!I309</f>
        <v>5</v>
      </c>
      <c r="J309" s="339">
        <f ca="1">กระบี่!J309+ชุมพร!J309+ตรัง!J309+นครศรีธรรมราช!J309+นราธิวาส!J309+ปัตตานี!J309+พังงา!J309+พัทลุง!J309+ภูเก็ต!J309+ยะลา!J309+ระนอง!J309+สงขลา!J309+สตูล!J309+สุราษฎร์ธานี!J309</f>
        <v>5</v>
      </c>
      <c r="K309" s="340">
        <f ca="1">IF(I309&gt;0,J309*100/I309,0)</f>
        <v>100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2" t="s">
        <v>17</v>
      </c>
      <c r="E310" s="573"/>
      <c r="F310" s="573"/>
      <c r="G310" s="573"/>
      <c r="H310" s="153" t="s">
        <v>12</v>
      </c>
      <c r="I310" s="342"/>
      <c r="J310" s="342"/>
      <c r="K310" s="343"/>
      <c r="L310" s="156">
        <f ca="1">กระบี่!L310+ชุมพร!L310+ตรัง!L310+นครศรีธรรมราช!L310+นราธิวาส!L310+ปัตตานี!L310+พังงา!L310+พัทลุง!L310+ภูเก็ต!L310+ยะลา!L310+ระนอง!L310+สงขลา!L310+สตูล!L310+สุราษฎร์ธานี!L310</f>
        <v>7184400</v>
      </c>
      <c r="M310" s="156">
        <f ca="1">กระบี่!M310+ชุมพร!M310+ตรัง!M310+นครศรีธรรมราช!M310+นราธิวาส!M310+ปัตตานี!M310+พังงา!M310+พัทลุง!M310+ภูเก็ต!M310+ยะลา!M310+ระนอง!M310+สงขลา!M310+สตูล!M310+สุราษฎร์ธานี!M310</f>
        <v>7184400</v>
      </c>
      <c r="N310" s="156">
        <f ca="1">กระบี่!N310+ชุมพร!N310+ตรัง!N310+นครศรีธรรมราช!N310+นราธิวาส!N310+ปัตตานี!N310+พังงา!N310+พัทลุง!N310+ภูเก็ต!N310+ยะลา!N310+ระนอง!N310+สงขลา!N310+สตูล!N310+สุราษฎร์ธานี!N310</f>
        <v>3540568.4699999997</v>
      </c>
      <c r="O310" s="155">
        <f t="shared" ref="O310:O312" ca="1" si="66">IF(L310&gt;0,N310*100/L310,0)</f>
        <v>49.281338316352098</v>
      </c>
      <c r="P310" s="155">
        <f t="shared" ref="P310:P312" ca="1" si="67">IF(M310&gt;0,N310*100/M310,0)</f>
        <v>49.281338316352098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>กระบี่!L311+ชุมพร!L311+ตรัง!L311+นครศรีธรรมราช!L311+นราธิวาส!L311+ปัตตานี!L311+พังงา!L311+พัทลุง!L311+ภูเก็ต!L311+ยะลา!L311+ระนอง!L311+สงขลา!L311+สตูล!L311+สุราษฎร์ธานี!L311</f>
        <v>0</v>
      </c>
      <c r="M311" s="161">
        <f>กระบี่!M311+ชุมพร!M311+ตรัง!M311+นครศรีธรรมราช!M311+นราธิวาส!M311+ปัตตานี!M311+พังงา!M311+พัทลุง!M311+ภูเก็ต!M311+ยะลา!M311+ระนอง!M311+สงขลา!M311+สตูล!M311+สุราษฎร์ธานี!M311</f>
        <v>0</v>
      </c>
      <c r="N311" s="161">
        <f>กระบี่!N311+ชุมพร!N311+ตรัง!N311+นครศรีธรรมราช!N311+นราธิวาส!N311+ปัตตานี!N311+พังงา!N311+พัทลุง!N311+ภูเก็ต!N311+ยะลา!N311+ระนอง!N311+สงขลา!N311+สตูล!N311+สุราษฎร์ธานี!N311</f>
        <v>0</v>
      </c>
      <c r="O311" s="160">
        <f t="shared" si="66"/>
        <v>0</v>
      </c>
      <c r="P311" s="160">
        <f t="shared" si="67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ca="1">กระบี่!L312+ชุมพร!L312+ตรัง!L312+นครศรีธรรมราช!L312+นราธิวาส!L312+ปัตตานี!L312+พังงา!L312+พัทลุง!L312+ภูเก็ต!L312+ยะลา!L312+ระนอง!L312+สงขลา!L312+สตูล!L312+สุราษฎร์ธานี!L312</f>
        <v>7184400</v>
      </c>
      <c r="M312" s="161">
        <f ca="1">กระบี่!M312+ชุมพร!M312+ตรัง!M312+นครศรีธรรมราช!M312+นราธิวาส!M312+ปัตตานี!M312+พังงา!M312+พัทลุง!M312+ภูเก็ต!M312+ยะลา!M312+ระนอง!M312+สงขลา!M312+สตูล!M312+สุราษฎร์ธานี!M312</f>
        <v>7184400</v>
      </c>
      <c r="N312" s="161">
        <f ca="1">กระบี่!N312+ชุมพร!N312+ตรัง!N312+นครศรีธรรมราช!N312+นราธิวาส!N312+ปัตตานี!N312+พังงา!N312+พัทลุง!N312+ภูเก็ต!N312+ยะลา!N312+ระนอง!N312+สงขลา!N312+สตูล!N312+สุราษฎร์ธานี!N312</f>
        <v>3540568.4699999997</v>
      </c>
      <c r="O312" s="160">
        <f t="shared" ca="1" si="66"/>
        <v>49.281338316352098</v>
      </c>
      <c r="P312" s="160">
        <f t="shared" ca="1" si="67"/>
        <v>49.281338316352098</v>
      </c>
    </row>
    <row r="313" spans="1:16" ht="21.75" customHeight="1" x14ac:dyDescent="0.3">
      <c r="A313" s="162"/>
      <c r="B313" s="163"/>
      <c r="C313" s="163" t="s">
        <v>16</v>
      </c>
      <c r="D313" s="574" t="s">
        <v>20</v>
      </c>
      <c r="E313" s="575"/>
      <c r="F313" s="575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f>กระบี่!L313+ชุมพร!L313+ตรัง!L313+นครศรีธรรมราช!L313+นราธิวาส!L313+ปัตตานี!L313+พังงา!L313+พัทลุง!L313+ภูเก็ต!L313+ยะลา!L313+ระนอง!L313+สงขลา!L313+สตูล!L313+สุราษฎร์ธานี!L313</f>
        <v>0</v>
      </c>
      <c r="M313" s="168">
        <f>กระบี่!M313+ชุมพร!M313+ตรัง!M313+นครศรีธรรมราช!M313+นราธิวาส!M313+ปัตตานี!M313+พังงา!M313+พัทลุง!M313+ภูเก็ต!M313+ยะลา!M313+ระนอง!M313+สงขลา!M313+สตูล!M313+สุราษฎร์ธานี!M313</f>
        <v>0</v>
      </c>
      <c r="N313" s="168">
        <f>กระบี่!N313+ชุมพร!N313+ตรัง!N313+นครศรีธรรมราช!N313+นราธิวาส!N313+ปัตตานี!N313+พังงา!N313+พัทลุง!N313+ภูเก็ต!N313+ยะลา!N313+ระนอง!N313+สงขลา!N313+สตูล!N313+สุราษฎร์ธานี!N313</f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กระบี่!L314+ชุมพร!L314+ตรัง!L314+นครศรีธรรมราช!L314+นราธิวาส!L314+ปัตตานี!L314+พังงา!L314+พัทลุง!L314+ภูเก็ต!L314+ยะลา!L314+ระนอง!L314+สงขลา!L314+สตูล!L314+สุราษฎร์ธานี!L314</f>
        <v>1277400</v>
      </c>
      <c r="M314" s="173">
        <f ca="1">กระบี่!M314+ชุมพร!M314+ตรัง!M314+นครศรีธรรมราช!M314+นราธิวาส!M314+ปัตตานี!M314+พังงา!M314+พัทลุง!M314+ภูเก็ต!M314+ยะลา!M314+ระนอง!M314+สงขลา!M314+สตูล!M314+สุราษฎร์ธานี!M314</f>
        <v>1277400</v>
      </c>
      <c r="N314" s="174">
        <f ca="1">กระบี่!N314+ชุมพร!N314+ตรัง!N314+นครศรีธรรมราช!N314+นราธิวาส!N314+ปัตตานี!N314+พังงา!N314+พัทลุง!N314+ภูเก็ต!N314+ยะลา!N314+ระนอง!N314+สงขลา!N314+สตูล!N314+สุราษฎร์ธานี!N314</f>
        <v>1133568.47</v>
      </c>
      <c r="O314" s="175">
        <f ca="1">IF(L314&gt;0,N314*100/L314,0)</f>
        <v>88.740290433693445</v>
      </c>
      <c r="P314" s="175">
        <f ca="1">IF(M314&gt;0,N314*100/M314,0)</f>
        <v>88.740290433693445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กระบี่!L315+ชุมพร!L315+ตรัง!L315+นครศรีธรรมราช!L315+นราธิวาส!L315+ปัตตานี!L315+พังงา!L315+พัทลุง!L315+ภูเก็ต!L315+ยะลา!L315+ระนอง!L315+สงขลา!L315+สตูล!L315+สุราษฎร์ธานี!L315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กระบี่!L316+ชุมพร!L316+ตรัง!L316+นครศรีธรรมราช!L316+นราธิวาส!L316+ปัตตานี!L316+พังงา!L316+พัทลุง!L316+ภูเก็ต!L316+ยะลา!L316+ระนอง!L316+สงขลา!L316+สตูล!L316+สุราษฎร์ธานี!L316</f>
        <v>1277400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6" t="s">
        <v>23</v>
      </c>
      <c r="E317" s="575"/>
      <c r="F317" s="89"/>
      <c r="G317" s="83" t="s">
        <v>18</v>
      </c>
      <c r="H317" s="178" t="s">
        <v>12</v>
      </c>
      <c r="I317" s="166"/>
      <c r="J317" s="194"/>
      <c r="K317" s="230"/>
      <c r="L317" s="93">
        <f>กระบี่!L317+ชุมพร!L317+ตรัง!L317+นครศรีธรรมราช!L317+นราธิวาส!L317+ปัตตานี!L317+พังงา!L317+พัทลุง!L317+ภูเก็ต!L317+ยะลา!L317+ระนอง!L317+สงขลา!L317+สตูล!L317+สุราษฎร์ธานี!L317</f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กระบี่!L318+ชุมพร!L318+ตรัง!L318+นครศรีธรรมราช!L318+นราธิวาส!L318+ปัตตานี!L318+พังงา!L318+พัทลุง!L318+ภูเก็ต!L318+ยะลา!L318+ระนอง!L318+สงขลา!L318+สตูล!L318+สุราษฎร์ธานี!L318</f>
        <v>5907000</v>
      </c>
      <c r="M318" s="101">
        <f ca="1">กระบี่!M318+ชุมพร!M318+ตรัง!M318+นครศรีธรรมราช!M318+นราธิวาส!M318+ปัตตานี!M318+พังงา!M318+พัทลุง!M318+ภูเก็ต!M318+ยะลา!M318+ระนอง!M318+สงขลา!M318+สตูล!M318+สุราษฎร์ธานี!M318</f>
        <v>5907000</v>
      </c>
      <c r="N318" s="91">
        <f ca="1">กระบี่!N318+ชุมพร!N318+ตรัง!N318+นครศรีธรรมราช!N318+นราธิวาส!N318+ปัตตานี!N318+พังงา!N318+พัทลุง!N318+ภูเก็ต!N318+ยะลา!N318+ระนอง!N318+สงขลา!N318+สตูล!N318+สุราษฎร์ธานี!N318</f>
        <v>2407000</v>
      </c>
      <c r="O318" s="101">
        <f ca="1">IF(L318&gt;0,N318*100/L318,0)</f>
        <v>40.748264770611136</v>
      </c>
      <c r="P318" s="101">
        <f ca="1">IF(M318&gt;0,N318*100/M318,0)</f>
        <v>40.748264770611136</v>
      </c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กระบี่!J320+ชุมพร!J320+ตรัง!J320+นครศรีธรรมราช!J320+นราธิวาส!J320+ปัตตานี!J320+พังงา!J320+พัทลุง!J320+ภูเก็ต!J320+ยะลา!J320+ระนอง!J320+สงขลา!J320+สตูล!J320+สุราษฎร์ธานี!J320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กระบี่!J321+ชุมพร!J321+ตรัง!J321+นครศรีธรรมราช!J321+นราธิวาส!J321+ปัตตานี!J321+พังงา!J321+พัทลุง!J321+ภูเก็ต!J321+ยะลา!J321+ระนอง!J321+สงขลา!J321+สตูล!J321+สุราษฎร์ธานี!J321</f>
        <v>4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กระบี่!J322+ชุมพร!J322+ตรัง!J322+นครศรีธรรมราช!J322+นราธิวาส!J322+ปัตตานี!J322+พังงา!J322+พัทลุง!J322+ภูเก็ต!J322+ยะลา!J322+ระนอง!J322+สงขลา!J322+สตูล!J322+สุราษฎร์ธานี!J322</f>
        <v>4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กระบี่!J323+ชุมพร!J323+ตรัง!J323+นครศรีธรรมราช!J323+นราธิวาส!J323+ปัตตานี!J323+พังงา!J323+พัทลุง!J323+ภูเก็ต!J323+ยะลา!J323+ระนอง!J323+สงขลา!J323+สตูล!J323+สุราษฎร์ธานี!J323</f>
        <v>4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กระบี่!I324+ชุมพร!I324+ตรัง!I324+นครศรีธรรมราช!I324+นราธิวาส!I324+ปัตตานี!I324+พังงา!I324+พัทลุง!I324+ภูเก็ต!I324+ยะลา!I324+ระนอง!I324+สงขลา!I324+สตูล!I324+สุราษฎร์ธานี!I324</f>
        <v>5</v>
      </c>
      <c r="J324" s="210">
        <f ca="1">กระบี่!J324+ชุมพร!J324+ตรัง!J324+นครศรีธรรมราช!J324+นราธิวาส!J324+ปัตตานี!J324+พังงา!J324+พัทลุง!J324+ภูเก็ต!J324+ยะลา!J324+ระนอง!J324+สงขลา!J324+สตูล!J324+สุราษฎร์ธานี!J324</f>
        <v>5</v>
      </c>
      <c r="K324" s="230">
        <f ca="1">IF(I324&gt;0,J324*100/I324,0)</f>
        <v>100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กระบี่!J325+ชุมพร!J325+ตรัง!J325+นครศรีธรรมราช!J325+นราธิวาส!J325+ปัตตานี!J325+พังงา!J325+พัทลุง!J325+ภูเก็ต!J325+ยะลา!J325+ระนอง!J325+สงขลา!J325+สตูล!J325+สุราษฎร์ธานี!J325</f>
        <v>1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กระบี่!J326+ชุมพร!J326+ตรัง!J326+นครศรีธรรมราช!J326+นราธิวาส!J326+ปัตตานี!J326+พังงา!J326+พัทลุง!J326+ภูเก็ต!J326+ยะลา!J326+ระนอง!J326+สงขลา!J326+สตูล!J326+สุราษฎร์ธานี!J326</f>
        <v>1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กระบี่!I328+ชุมพร!I328+ตรัง!I328+นครศรีธรรมราช!I328+นราธิวาส!I328+ปัตตานี!I328+พังงา!I328+พัทลุง!I328+ภูเก็ต!I328+ยะลา!I328+ระนอง!I328+สงขลา!I328+สตูล!I328+สุราษฎร์ธานี!I328</f>
        <v>3403</v>
      </c>
      <c r="J328" s="345">
        <f ca="1">กระบี่!J328+ชุมพร!J328+ตรัง!J328+นครศรีธรรมราช!J328+นราธิวาส!J328+ปัตตานี!J328+พังงา!J328+พัทลุง!J328+ภูเก็ต!J328+ยะลา!J328+ระนอง!J328+สงขลา!J328+สตูล!J328+สุราษฎร์ธานี!J328</f>
        <v>3863</v>
      </c>
      <c r="K328" s="323">
        <f ca="1">IF(I328&gt;0,J328*100/I328,0)</f>
        <v>113.51748457243609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2" t="s">
        <v>17</v>
      </c>
      <c r="E329" s="573"/>
      <c r="F329" s="573"/>
      <c r="G329" s="573"/>
      <c r="H329" s="153" t="s">
        <v>12</v>
      </c>
      <c r="I329" s="166"/>
      <c r="J329" s="166"/>
      <c r="K329" s="167"/>
      <c r="L329" s="156">
        <f ca="1">กระบี่!L329+ชุมพร!L329+ตรัง!L329+นครศรีธรรมราช!L329+นราธิวาส!L329+ปัตตานี!L329+พังงา!L329+พัทลุง!L329+ภูเก็ต!L329+ยะลา!L329+ระนอง!L329+สงขลา!L329+สตูล!L329+สุราษฎร์ธานี!L329</f>
        <v>13456330</v>
      </c>
      <c r="M329" s="156">
        <f ca="1">กระบี่!M329+ชุมพร!M329+ตรัง!M329+นครศรีธรรมราช!M329+นราธิวาส!M329+ปัตตานี!M329+พังงา!M329+พัทลุง!M329+ภูเก็ต!M329+ยะลา!M329+ระนอง!M329+สงขลา!M329+สตูล!M329+สุราษฎร์ธานี!M329</f>
        <v>14052370</v>
      </c>
      <c r="N329" s="156">
        <f ca="1">กระบี่!N329+ชุมพร!N329+ตรัง!N329+นครศรีธรรมราช!N329+นราธิวาส!N329+ปัตตานี!N329+พังงา!N329+พัทลุง!N329+ภูเก็ต!N329+ยะลา!N329+ระนอง!N329+สงขลา!N329+สตูล!N329+สุราษฎร์ธานี!N329</f>
        <v>11973462.259999998</v>
      </c>
      <c r="O329" s="155">
        <f t="shared" ref="O329:O331" ca="1" si="68">IF(L329&gt;0,N329*100/L329,0)</f>
        <v>88.980147335863478</v>
      </c>
      <c r="P329" s="155">
        <f t="shared" ref="P329:P331" ca="1" si="69">IF(M329&gt;0,N329*100/M329,0)</f>
        <v>85.205999130395782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>กระบี่!L330+ชุมพร!L330+ตรัง!L330+นครศรีธรรมราช!L330+นราธิวาส!L330+ปัตตานี!L330+พังงา!L330+พัทลุง!L330+ภูเก็ต!L330+ยะลา!L330+ระนอง!L330+สงขลา!L330+สตูล!L330+สุราษฎร์ธานี!L330</f>
        <v>0</v>
      </c>
      <c r="M330" s="161">
        <f>กระบี่!M330+ชุมพร!M330+ตรัง!M330+นครศรีธรรมราช!M330+นราธิวาส!M330+ปัตตานี!M330+พังงา!M330+พัทลุง!M330+ภูเก็ต!M330+ยะลา!M330+ระนอง!M330+สงขลา!M330+สตูล!M330+สุราษฎร์ธานี!M330</f>
        <v>0</v>
      </c>
      <c r="N330" s="161">
        <f>กระบี่!N330+ชุมพร!N330+ตรัง!N330+นครศรีธรรมราช!N330+นราธิวาส!N330+ปัตตานี!N330+พังงา!N330+พัทลุง!N330+ภูเก็ต!N330+ยะลา!N330+ระนอง!N330+สงขลา!N330+สตูล!N330+สุราษฎร์ธานี!N330</f>
        <v>0</v>
      </c>
      <c r="O330" s="160">
        <f t="shared" si="68"/>
        <v>0</v>
      </c>
      <c r="P330" s="160">
        <f t="shared" si="69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ca="1">กระบี่!L331+ชุมพร!L331+ตรัง!L331+นครศรีธรรมราช!L331+นราธิวาส!L331+ปัตตานี!L331+พังงา!L331+พัทลุง!L331+ภูเก็ต!L331+ยะลา!L331+ระนอง!L331+สงขลา!L331+สตูล!L331+สุราษฎร์ธานี!L331</f>
        <v>13456330</v>
      </c>
      <c r="M331" s="161">
        <f ca="1">กระบี่!M331+ชุมพร!M331+ตรัง!M331+นครศรีธรรมราช!M331+นราธิวาส!M331+ปัตตานี!M331+พังงา!M331+พัทลุง!M331+ภูเก็ต!M331+ยะลา!M331+ระนอง!M331+สงขลา!M331+สตูล!M331+สุราษฎร์ธานี!M331</f>
        <v>14052370</v>
      </c>
      <c r="N331" s="161">
        <f ca="1">กระบี่!N331+ชุมพร!N331+ตรัง!N331+นครศรีธรรมราช!N331+นราธิวาส!N331+ปัตตานี!N331+พังงา!N331+พัทลุง!N331+ภูเก็ต!N331+ยะลา!N331+ระนอง!N331+สงขลา!N331+สตูล!N331+สุราษฎร์ธานี!N331</f>
        <v>11973462.259999998</v>
      </c>
      <c r="O331" s="160">
        <f t="shared" ca="1" si="68"/>
        <v>88.980147335863478</v>
      </c>
      <c r="P331" s="160">
        <f t="shared" ca="1" si="69"/>
        <v>85.205999130395782</v>
      </c>
    </row>
    <row r="332" spans="1:16" ht="21.75" customHeight="1" x14ac:dyDescent="0.3">
      <c r="A332" s="162"/>
      <c r="B332" s="163"/>
      <c r="C332" s="163" t="s">
        <v>16</v>
      </c>
      <c r="D332" s="574" t="s">
        <v>20</v>
      </c>
      <c r="E332" s="575"/>
      <c r="F332" s="575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f>กระบี่!L332+ชุมพร!L332+ตรัง!L332+นครศรีธรรมราช!L332+นราธิวาส!L332+ปัตตานี!L332+พังงา!L332+พัทลุง!L332+ภูเก็ต!L332+ยะลา!L332+ระนอง!L332+สงขลา!L332+สตูล!L332+สุราษฎร์ธานี!L332</f>
        <v>0</v>
      </c>
      <c r="M332" s="168">
        <f>กระบี่!M332+ชุมพร!M332+ตรัง!M332+นครศรีธรรมราช!M332+นราธิวาส!M332+ปัตตานี!M332+พังงา!M332+พัทลุง!M332+ภูเก็ต!M332+ยะลา!M332+ระนอง!M332+สงขลา!M332+สตูล!M332+สุราษฎร์ธานี!M332</f>
        <v>0</v>
      </c>
      <c r="N332" s="168">
        <f>กระบี่!N332+ชุมพร!N332+ตรัง!N332+นครศรีธรรมราช!N332+นราธิวาส!N332+ปัตตานี!N332+พังงา!N332+พัทลุง!N332+ภูเก็ต!N332+ยะลา!N332+ระนอง!N332+สงขลา!N332+สตูล!N332+สุราษฎร์ธานี!N332</f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กระบี่!L333+ชุมพร!L333+ตรัง!L333+นครศรีธรรมราช!L333+นราธิวาส!L333+ปัตตานี!L333+พังงา!L333+พัทลุง!L333+ภูเก็ต!L333+ยะลา!L333+ระนอง!L333+สงขลา!L333+สตูล!L333+สุราษฎร์ธานี!L333</f>
        <v>12418760</v>
      </c>
      <c r="M333" s="173">
        <f ca="1">กระบี่!M333+ชุมพร!M333+ตรัง!M333+นครศรีธรรมราช!M333+นราธิวาส!M333+ปัตตานี!M333+พังงา!M333+พัทลุง!M333+ภูเก็ต!M333+ยะลา!M333+ระนอง!M333+สงขลา!M333+สตูล!M333+สุราษฎร์ธานี!M333</f>
        <v>13014800</v>
      </c>
      <c r="N333" s="174">
        <f ca="1">กระบี่!N333+ชุมพร!N333+ตรัง!N333+นครศรีธรรมราช!N333+นราธิวาส!N333+ปัตตานี!N333+พังงา!N333+พัทลุง!N333+ภูเก็ต!N333+ยะลา!N333+ระนอง!N333+สงขลา!N333+สตูล!N333+สุราษฎร์ธานี!N333</f>
        <v>10943892.259999998</v>
      </c>
      <c r="O333" s="175">
        <f ca="1">IF(L333&gt;0,N333*100/L333,0)</f>
        <v>88.123872753801493</v>
      </c>
      <c r="P333" s="175">
        <f ca="1">IF(M333&gt;0,N333*100/M333,0)</f>
        <v>84.088055598241979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กระบี่!L334+ชุมพร!L334+ตรัง!L334+นครศรีธรรมราช!L334+นราธิวาส!L334+ปัตตานี!L334+พังงา!L334+พัทลุง!L334+ภูเก็ต!L334+ยะลา!L334+ระนอง!L334+สงขลา!L334+สตูล!L334+สุราษฎร์ธานี!L334</f>
        <v>6929700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กระบี่!L335+ชุมพร!L335+ตรัง!L335+นครศรีธรรมราช!L335+นราธิวาส!L335+ปัตตานี!L335+พังงา!L335+พัทลุง!L335+ภูเก็ต!L335+ยะลา!L335+ระนอง!L335+สงขลา!L335+สตูล!L335+สุราษฎร์ธานี!L335</f>
        <v>5489060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6" t="s">
        <v>23</v>
      </c>
      <c r="E336" s="575"/>
      <c r="F336" s="89"/>
      <c r="G336" s="83" t="s">
        <v>18</v>
      </c>
      <c r="H336" s="178" t="s">
        <v>12</v>
      </c>
      <c r="I336" s="166"/>
      <c r="J336" s="166"/>
      <c r="K336" s="167"/>
      <c r="L336" s="93">
        <f>กระบี่!L336+ชุมพร!L336+ตรัง!L336+นครศรีธรรมราช!L336+นราธิวาส!L336+ปัตตานี!L336+พังงา!L336+พัทลุง!L336+ภูเก็ต!L336+ยะลา!L336+ระนอง!L336+สงขลา!L336+สตูล!L336+สุราษฎร์ธานี!L336</f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กระบี่!L337+ชุมพร!L337+ตรัง!L337+นครศรีธรรมราช!L337+นราธิวาส!L337+ปัตตานี!L337+พังงา!L337+พัทลุง!L337+ภูเก็ต!L337+ยะลา!L337+ระนอง!L337+สงขลา!L337+สตูล!L337+สุราษฎร์ธานี!L337</f>
        <v>1037570</v>
      </c>
      <c r="M337" s="101">
        <f ca="1">กระบี่!M337+ชุมพร!M337+ตรัง!M337+นครศรีธรรมราช!M337+นราธิวาส!M337+ปัตตานี!M337+พังงา!M337+พัทลุง!M337+ภูเก็ต!M337+ยะลา!M337+ระนอง!M337+สงขลา!M337+สตูล!M337+สุราษฎร์ธานี!M337</f>
        <v>1037570</v>
      </c>
      <c r="N337" s="91">
        <f ca="1">กระบี่!N337+ชุมพร!N337+ตรัง!N337+นครศรีธรรมราช!N337+นราธิวาส!N337+ปัตตานี!N337+พังงา!N337+พัทลุง!N337+ภูเก็ต!N337+ยะลา!N337+ระนอง!N337+สงขลา!N337+สตูล!N337+สุราษฎร์ธานี!N337</f>
        <v>1029570</v>
      </c>
      <c r="O337" s="101">
        <f ca="1">IF(L337&gt;0,N337*100/L337,0)</f>
        <v>99.228967684108056</v>
      </c>
      <c r="P337" s="101">
        <f ca="1">IF(M337&gt;0,N337*100/M337,0)</f>
        <v>99.228967684108056</v>
      </c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กระบี่!I339+ชุมพร!I339+ตรัง!I339+นครศรีธรรมราช!I339+นราธิวาส!I339+ปัตตานี!I339+พังงา!I339+พัทลุง!I339+ภูเก็ต!I339+ยะลา!I339+ระนอง!I339+สงขลา!I339+สตูล!I339+สุราษฎร์ธานี!I339</f>
        <v>0</v>
      </c>
      <c r="J339" s="194">
        <f ca="1">กระบี่!J339+ชุมพร!J339+ตรัง!J339+นครศรีธรรมราช!J339+นราธิวาส!J339+ปัตตานี!J339+พังงา!J339+พัทลุง!J339+ภูเก็ต!J339+ยะลา!J339+ระนอง!J339+สงขลา!J339+สตูล!J339+สุราษฎร์ธานี!J339</f>
        <v>3246</v>
      </c>
      <c r="K339" s="348">
        <f t="shared" ref="K339:K346" ca="1" si="70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กระบี่!I340+ชุมพร!I340+ตรัง!I340+นครศรีธรรมราช!I340+นราธิวาส!I340+ปัตตานี!I340+พังงา!I340+พัทลุง!I340+ภูเก็ต!I340+ยะลา!I340+ระนอง!I340+สงขลา!I340+สตูล!I340+สุราษฎร์ธานี!I340</f>
        <v>25184</v>
      </c>
      <c r="J340" s="194">
        <f ca="1">กระบี่!J340+ชุมพร!J340+ตรัง!J340+นครศรีธรรมราช!J340+นราธิวาส!J340+ปัตตานี!J340+พังงา!J340+พัทลุง!J340+ภูเก็ต!J340+ยะลา!J340+ระนอง!J340+สงขลา!J340+สตูล!J340+สุราษฎร์ธานี!J340</f>
        <v>27377.079999999987</v>
      </c>
      <c r="K340" s="348">
        <f t="shared" ca="1" si="70"/>
        <v>108.70822744599741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กระบี่!I341+ชุมพร!I341+ตรัง!I341+นครศรีธรรมราช!I341+นราธิวาส!I341+ปัตตานี!I341+พังงา!I341+พัทลุง!I341+ภูเก็ต!I341+ยะลา!I341+ระนอง!I341+สงขลา!I341+สตูล!I341+สุราษฎร์ธานี!I341</f>
        <v>3403</v>
      </c>
      <c r="J341" s="194">
        <f ca="1">กระบี่!J341+ชุมพร!J341+ตรัง!J341+นครศรีธรรมราช!J341+นราธิวาส!J341+ปัตตานี!J341+พังงา!J341+พัทลุง!J341+ภูเก็ต!J341+ยะลา!J341+ระนอง!J341+สงขลา!J341+สตูล!J341+สุราษฎร์ธานี!J341</f>
        <v>4712</v>
      </c>
      <c r="K341" s="348">
        <f t="shared" ca="1" si="70"/>
        <v>138.46605935938877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กระบี่!I342+ชุมพร!I342+ตรัง!I342+นครศรีธรรมราช!I342+นราธิวาส!I342+ปัตตานี!I342+พังงา!I342+พัทลุง!I342+ภูเก็ต!I342+ยะลา!I342+ระนอง!I342+สงขลา!I342+สตูล!I342+สุราษฎร์ธานี!I342</f>
        <v>0</v>
      </c>
      <c r="J342" s="194">
        <f ca="1">กระบี่!J342+ชุมพร!J342+ตรัง!J342+นครศรีธรรมราช!J342+นราธิวาส!J342+ปัตตานี!J342+พังงา!J342+พัทลุง!J342+ภูเก็ต!J342+ยะลา!J342+ระนอง!J342+สงขลา!J342+สตูล!J342+สุราษฎร์ธานี!J342</f>
        <v>47890.259999999995</v>
      </c>
      <c r="K342" s="348">
        <f t="shared" ca="1" si="70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กระบี่!I343+ชุมพร!I343+ตรัง!I343+นครศรีธรรมราช!I343+นราธิวาส!I343+ปัตตานี!I343+พังงา!I343+พัทลุง!I343+ภูเก็ต!I343+ยะลา!I343+ระนอง!I343+สงขลา!I343+สตูล!I343+สุราษฎร์ธานี!I343</f>
        <v>3403</v>
      </c>
      <c r="J343" s="194">
        <f ca="1">กระบี่!J343+ชุมพร!J343+ตรัง!J343+นครศรีธรรมราช!J343+นราธิวาส!J343+ปัตตานี!J343+พังงา!J343+พัทลุง!J343+ภูเก็ต!J343+ยะลา!J343+ระนอง!J343+สงขลา!J343+สตูล!J343+สุราษฎร์ธานี!J343</f>
        <v>68</v>
      </c>
      <c r="K343" s="348">
        <f t="shared" ca="1" si="70"/>
        <v>1.9982368498383778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กระบี่!I344+ชุมพร!I344+ตรัง!I344+นครศรีธรรมราช!I344+นราธิวาส!I344+ปัตตานี!I344+พังงา!I344+พัทลุง!I344+ภูเก็ต!I344+ยะลา!I344+ระนอง!I344+สงขลา!I344+สตูล!I344+สุราษฎร์ธานี!I344</f>
        <v>0</v>
      </c>
      <c r="J344" s="194">
        <f ca="1">กระบี่!J344+ชุมพร!J344+ตรัง!J344+นครศรีธรรมราช!J344+นราธิวาส!J344+ปัตตานี!J344+พังงา!J344+พัทลุง!J344+ภูเก็ต!J344+ยะลา!J344+ระนอง!J344+สงขลา!J344+สตูล!J344+สุราษฎร์ธานี!J344</f>
        <v>374.63</v>
      </c>
      <c r="K344" s="348">
        <f t="shared" ca="1" si="70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กระบี่!I345+ชุมพร!I345+ตรัง!I345+นครศรีธรรมราช!I345+นราธิวาส!I345+ปัตตานี!I345+พังงา!I345+พัทลุง!I345+ภูเก็ต!I345+ยะลา!I345+ระนอง!I345+สงขลา!I345+สตูล!I345+สุราษฎร์ธานี!I345</f>
        <v>3403</v>
      </c>
      <c r="J345" s="194">
        <f ca="1">กระบี่!J345+ชุมพร!J345+ตรัง!J345+นครศรีธรรมราช!J345+นราธิวาส!J345+ปัตตานี!J345+พังงา!J345+พัทลุง!J345+ภูเก็ต!J345+ยะลา!J345+ระนอง!J345+สงขลา!J345+สตูล!J345+สุราษฎร์ธานี!J345</f>
        <v>3863</v>
      </c>
      <c r="K345" s="348">
        <f t="shared" ca="1" si="70"/>
        <v>113.51748457243609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กระบี่!I346+ชุมพร!I346+ตรัง!I346+นครศรีธรรมราช!I346+นราธิวาส!I346+ปัตตานี!I346+พังงา!I346+พัทลุง!I346+ภูเก็ต!I346+ยะลา!I346+ระนอง!I346+สงขลา!I346+สตูล!I346+สุราษฎร์ธานี!I346</f>
        <v>0</v>
      </c>
      <c r="J346" s="194">
        <f ca="1">กระบี่!J346+ชุมพร!J346+ตรัง!J346+นครศรีธรรมราช!J346+นราธิวาส!J346+ปัตตานี!J346+พังงา!J346+พัทลุง!J346+ภูเก็ต!J346+ยะลา!J346+ระนอง!J346+สงขลา!J346+สตูล!J346+สุราษฎร์ธานี!J346</f>
        <v>39921.3299999999</v>
      </c>
      <c r="K346" s="357">
        <f t="shared" ca="1" si="70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กระบี่!L347+ชุมพร!L347+ตรัง!L347+นครศรีธรรมราช!L347+นราธิวาส!L347+ปัตตานี!L347+พังงา!L347+พัทลุง!L347+ภูเก็ต!L347+ยะลา!L347+ระนอง!L347+สงขลา!L347+สตูล!L347+สุราษฎร์ธานี!L347</f>
        <v>18342752</v>
      </c>
      <c r="M347" s="364"/>
      <c r="N347" s="364">
        <f ca="1">กระบี่!N347+ชุมพร!N347+ตรัง!N347+นครศรีธรรมราช!N347+นราธิวาส!N347+ปัตตานี!N347+พังงา!N347+พัทลุง!N347+ภูเก็ต!N347+ยะลา!N347+ระนอง!N347+สงขลา!N347+สตูล!N347+สุราษฎร์ธานี!N347</f>
        <v>14208932.279999996</v>
      </c>
      <c r="O347" s="364">
        <f ca="1">+IF(L347&gt;0,N347*100/L347,0)</f>
        <v>77.46347047596781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กระบี่!I349+ชุมพร!I349+ตรัง!I349+นครศรีธรรมราช!I349+นราธิวาส!I349+ปัตตานี!I349+พังงา!I349+พัทลุง!I349+ภูเก็ต!I349+ยะลา!I349+ระนอง!I349+สงขลา!I349+สตูล!I349+สุราษฎร์ธานี!I349</f>
        <v>793</v>
      </c>
      <c r="J349" s="377">
        <f ca="1">กระบี่!J349+ชุมพร!J349+ตรัง!J349+นครศรีธรรมราช!J349+นราธิวาส!J349+ปัตตานี!J349+พังงา!J349+พัทลุง!J349+ภูเก็ต!J349+ยะลา!J349+ระนอง!J349+สงขลา!J349+สตูล!J349+สุราษฎร์ธานี!J349</f>
        <v>753</v>
      </c>
      <c r="K349" s="378">
        <f t="shared" ref="K349:K350" ca="1" si="71">IF(I349&gt;0,J349*100/I349,0)</f>
        <v>94.955863808322832</v>
      </c>
      <c r="L349" s="379">
        <f ca="1">กระบี่!L349+ชุมพร!L349+ตรัง!L349+นครศรีธรรมราช!L349+นราธิวาส!L349+ปัตตานี!L349+พังงา!L349+พัทลุง!L349+ภูเก็ต!L349+ยะลา!L349+ระนอง!L349+สงขลา!L349+สตูล!L349+สุราษฎร์ธานี!L349</f>
        <v>2192930</v>
      </c>
      <c r="M349" s="379"/>
      <c r="N349" s="379">
        <f ca="1">กระบี่!N349+ชุมพร!N349+ตรัง!N349+นครศรีธรรมราช!N349+นราธิวาส!N349+ปัตตานี!N349+พังงา!N349+พัทลุง!N349+ภูเก็ต!N349+ยะลา!N349+ระนอง!N349+สงขลา!N349+สตูล!N349+สุราษฎร์ธานี!N349</f>
        <v>1978063.1</v>
      </c>
      <c r="O349" s="379">
        <f ca="1">+IF(L349&gt;0,N349*100/L349,0)</f>
        <v>90.201834987892909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กระบี่!I350+ชุมพร!I350+ตรัง!I350+นครศรีธรรมราช!I350+นราธิวาส!I350+ปัตตานี!I350+พังงา!I350+พัทลุง!I350+ภูเก็ต!I350+ยะลา!I350+ระนอง!I350+สงขลา!I350+สตูล!I350+สุราษฎร์ธานี!I350</f>
        <v>257</v>
      </c>
      <c r="J350" s="377">
        <f ca="1">กระบี่!J350+ชุมพร!J350+ตรัง!J350+นครศรีธรรมราช!J350+นราธิวาส!J350+ปัตตานี!J350+พังงา!J350+พัทลุง!J350+ภูเก็ต!J350+ยะลา!J350+ระนอง!J350+สงขลา!J350+สตูล!J350+สุราษฎร์ธานี!J350</f>
        <v>257</v>
      </c>
      <c r="K350" s="378">
        <f t="shared" ca="1" si="71"/>
        <v>100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กระบี่!L351+ชุมพร!L351+ตรัง!L351+นครศรีธรรมราช!L351+นราธิวาส!L351+ปัตตานี!L351+พังงา!L351+พัทลุง!L351+ภูเก็ต!L351+ยะลา!L351+ระนอง!L351+สงขลา!L351+สตูล!L351+สุราษฎร์ธานี!L351</f>
        <v>0</v>
      </c>
      <c r="M351" s="168"/>
      <c r="N351" s="168">
        <f ca="1">กระบี่!N351+ชุมพร!N351+ตรัง!N351+นครศรีธรรมราช!N351+นราธิวาส!N351+ปัตตานี!N351+พังงา!N351+พัทลุง!N351+ภูเก็ต!N351+ยะลา!N351+ระนอง!N351+สงขลา!N351+สตูล!N351+สุราษฎร์ธานี!N351</f>
        <v>0</v>
      </c>
      <c r="O351" s="169">
        <f t="shared" ref="O351:O354" ca="1" si="72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กระบี่!L352+ชุมพร!L352+ตรัง!L352+นครศรีธรรมราช!L352+นราธิวาส!L352+ปัตตานี!L352+พังงา!L352+พัทลุง!L352+ภูเก็ต!L352+ยะลา!L352+ระนอง!L352+สงขลา!L352+สตูล!L352+สุราษฎร์ธานี!L352</f>
        <v>2192930</v>
      </c>
      <c r="M352" s="169"/>
      <c r="N352" s="168">
        <f ca="1">กระบี่!N352+ชุมพร!N352+ตรัง!N352+นครศรีธรรมราช!N352+นราธิวาส!N352+ปัตตานี!N352+พังงา!N352+พัทลุง!N352+ภูเก็ต!N352+ยะลา!N352+ระนอง!N352+สงขลา!N352+สตูล!N352+สุราษฎร์ธานี!N352</f>
        <v>1978063.1</v>
      </c>
      <c r="O352" s="169">
        <f t="shared" ca="1" si="72"/>
        <v>90.201834987892909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กระบี่!L353+ชุมพร!L353+ตรัง!L353+นครศรีธรรมราช!L353+นราธิวาส!L353+ปัตตานี!L353+พังงา!L353+พัทลุง!L353+ภูเก็ต!L353+ยะลา!L353+ระนอง!L353+สงขลา!L353+สตูล!L353+สุราษฎร์ธานี!L353</f>
        <v>0</v>
      </c>
      <c r="M353" s="175"/>
      <c r="N353" s="175">
        <f ca="1">กระบี่!N353+ชุมพร!N353+ตรัง!N353+นครศรีธรรมราช!N353+นราธิวาส!N353+ปัตตานี!N353+พังงา!N353+พัทลุง!N353+ภูเก็ต!N353+ยะลา!N353+ระนอง!N353+สงขลา!N353+สตูล!N353+สุราษฎร์ธานี!N353</f>
        <v>0</v>
      </c>
      <c r="O353" s="175">
        <f t="shared" ca="1" si="72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กระบี่!L354+ชุมพร!L354+ตรัง!L354+นครศรีธรรมราช!L354+นราธิวาส!L354+ปัตตานี!L354+พังงา!L354+พัทลุง!L354+ภูเก็ต!L354+ยะลา!L354+ระนอง!L354+สงขลา!L354+สตูล!L354+สุราษฎร์ธานี!L354</f>
        <v>2192930</v>
      </c>
      <c r="M354" s="175"/>
      <c r="N354" s="172">
        <f ca="1">กระบี่!N354+ชุมพร!N354+ตรัง!N354+นครศรีธรรมราช!N354+นราธิวาส!N354+ปัตตานี!N354+พังงา!N354+พัทลุง!N354+ภูเก็ต!N354+ยะลา!N354+ระนอง!N354+สงขลา!N354+สตูล!N354+สุราษฎร์ธานี!N354</f>
        <v>1978063.1</v>
      </c>
      <c r="O354" s="175">
        <f t="shared" ca="1" si="72"/>
        <v>90.201834987892909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กระบี่!N355+ชุมพร!N355+ตรัง!N355+นครศรีธรรมราช!N355+นราธิวาส!N355+ปัตตานี!N355+พังงา!N355+พัทลุง!N355+ภูเก็ต!N355+ยะลา!N355+ระนอง!N355+สงขลา!N355+สตูล!N355+สุราษฎร์ธานี!N355</f>
        <v>341851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กระบี่!N356+ชุมพร!N356+ตรัง!N356+นครศรีธรรมราช!N356+นราธิวาส!N356+ปัตตานี!N356+พังงา!N356+พัทลุง!N356+ภูเก็ต!N356+ยะลา!N356+ระนอง!N356+สงขลา!N356+สตูล!N356+สุราษฎร์ธานี!N356</f>
        <v>730870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กระบี่!N357+ชุมพร!N357+ตรัง!N357+นครศรีธรรมราช!N357+นราธิวาส!N357+ปัตตานี!N357+พังงา!N357+พัทลุง!N357+ภูเก็ต!N357+ยะลา!N357+ระนอง!N357+สงขลา!N357+สตูล!N357+สุราษฎร์ธานี!N357</f>
        <v>665898.76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กระบี่!N358+ชุมพร!N358+ตรัง!N358+นครศรีธรรมราช!N358+นราธิวาส!N358+ปัตตานี!N358+พังงา!N358+พัทลุง!N358+ภูเก็ต!N358+ยะลา!N358+ระนอง!N358+สงขลา!N358+สตูล!N358+สุราษฎร์ธานี!N358</f>
        <v>239443.34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กระบี่!J360+ชุมพร!J360+ตรัง!J360+นครศรีธรรมราช!J360+นราธิวาส!J360+ปัตตานี!J360+พังงา!J360+พัทลุง!J360+ภูเก็ต!J360+ยะลา!J360+ระนอง!J360+สงขลา!J360+สตูล!J360+สุราษฎร์ธานี!J360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กระบี่!J361+ชุมพร!J361+ตรัง!J361+นครศรีธรรมราช!J361+นราธิวาส!J361+ปัตตานี!J361+พังงา!J361+พัทลุง!J361+ภูเก็ต!J361+ยะลา!J361+ระนอง!J361+สงขลา!J361+สตูล!J361+สุราษฎร์ธานี!J361</f>
        <v>9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กระบี่!J362+ชุมพร!J362+ตรัง!J362+นครศรีธรรมราช!J362+นราธิวาส!J362+ปัตตานี!J362+พังงา!J362+พัทลุง!J362+ภูเก็ต!J362+ยะลา!J362+ระนอง!J362+สงขลา!J362+สตูล!J362+สุราษฎร์ธานี!J362</f>
        <v>9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กระบี่!J363+ชุมพร!J363+ตรัง!J363+นครศรีธรรมราช!J363+นราธิวาส!J363+ปัตตานี!J363+พังงา!J363+พัทลุง!J363+ภูเก็ต!J363+ยะลา!J363+ระนอง!J363+สงขลา!J363+สตูล!J363+สุราษฎร์ธานี!J363</f>
        <v>9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กระบี่!J364+ชุมพร!J364+ตรัง!J364+นครศรีธรรมราช!J364+นราธิวาส!J364+ปัตตานี!J364+พังงา!J364+พัทลุง!J364+ภูเก็ต!J364+ยะลา!J364+ระนอง!J364+สงขลา!J364+สตูล!J364+สุราษฎร์ธานี!J364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กระบี่!J365+ชุมพร!J365+ตรัง!J365+นครศรีธรรมราช!J365+นราธิวาส!J365+ปัตตานี!J365+พังงา!J365+พัทลุง!J365+ภูเก็ต!J365+ยะลา!J365+ระนอง!J365+สงขลา!J365+สตูล!J365+สุราษฎร์ธานี!J365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กระบี่!J366+ชุมพร!J366+ตรัง!J366+นครศรีธรรมราช!J366+นราธิวาส!J366+ปัตตานี!J366+พังงา!J366+พัทลุง!J366+ภูเก็ต!J366+ยะลา!J366+ระนอง!J366+สงขลา!J366+สตูล!J366+สุราษฎร์ธานี!J366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กระบี่!J367+ชุมพร!J367+ตรัง!J367+นครศรีธรรมราช!J367+นราธิวาส!J367+ปัตตานี!J367+พังงา!J367+พัทลุง!J367+ภูเก็ต!J367+ยะลา!J367+ระนอง!J367+สงขลา!J367+สตูล!J367+สุราษฎร์ธานี!J367</f>
        <v>0</v>
      </c>
      <c r="K367" s="167">
        <f t="shared" ref="K367:K373" ca="1" si="73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กระบี่!I368+ชุมพร!I368+ตรัง!I368+นครศรีธรรมราช!I368+นราธิวาส!I368+ปัตตานี!I368+พังงา!I368+พัทลุง!I368+ภูเก็ต!I368+ยะลา!I368+ระนอง!I368+สงขลา!I368+สตูล!I368+สุราษฎร์ธานี!I368</f>
        <v>257</v>
      </c>
      <c r="J368" s="194">
        <f ca="1">กระบี่!J368+ชุมพร!J368+ตรัง!J368+นครศรีธรรมราช!J368+นราธิวาส!J368+ปัตตานี!J368+พังงา!J368+พัทลุง!J368+ภูเก็ต!J368+ยะลา!J368+ระนอง!J368+สงขลา!J368+สตูล!J368+สุราษฎร์ธานี!J368</f>
        <v>257</v>
      </c>
      <c r="K368" s="167">
        <f t="shared" ca="1" si="73"/>
        <v>100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กระบี่!I369+ชุมพร!I369+ตรัง!I369+นครศรีธรรมราช!I369+นราธิวาส!I369+ปัตตานี!I369+พังงา!I369+พัทลุง!I369+ภูเก็ต!I369+ยะลา!I369+ระนอง!I369+สงขลา!I369+สตูล!I369+สุราษฎร์ธานี!I369</f>
        <v>0</v>
      </c>
      <c r="J369" s="210">
        <f ca="1">กระบี่!J369+ชุมพร!J369+ตรัง!J369+นครศรีธรรมราช!J369+นราธิวาส!J369+ปัตตานี!J369+พังงา!J369+พัทลุง!J369+ภูเก็ต!J369+ยะลา!J369+ระนอง!J369+สงขลา!J369+สตูล!J369+สุราษฎร์ธานี!J369</f>
        <v>0</v>
      </c>
      <c r="K369" s="167">
        <f t="shared" ca="1" si="73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กระบี่!I370+ชุมพร!I370+ตรัง!I370+นครศรีธรรมราช!I370+นราธิวาส!I370+ปัตตานี!I370+พังงา!I370+พัทลุง!I370+ภูเก็ต!I370+ยะลา!I370+ระนอง!I370+สงขลา!I370+สตูล!I370+สุราษฎร์ธานี!I370</f>
        <v>257</v>
      </c>
      <c r="J370" s="210">
        <f ca="1">กระบี่!J370+ชุมพร!J370+ตรัง!J370+นครศรีธรรมราช!J370+นราธิวาส!J370+ปัตตานี!J370+พังงา!J370+พัทลุง!J370+ภูเก็ต!J370+ยะลา!J370+ระนอง!J370+สงขลา!J370+สตูล!J370+สุราษฎร์ธานี!J370</f>
        <v>227</v>
      </c>
      <c r="K370" s="167">
        <f t="shared" ca="1" si="73"/>
        <v>88.326848249027236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กระบี่!I371+ชุมพร!I371+ตรัง!I371+นครศรีธรรมราช!I371+นราธิวาส!I371+ปัตตานี!I371+พังงา!I371+พัทลุง!I371+ภูเก็ต!I371+ยะลา!I371+ระนอง!I371+สงขลา!I371+สตูล!I371+สุราษฎร์ธานี!I371</f>
        <v>0</v>
      </c>
      <c r="J371" s="195">
        <f ca="1">กระบี่!J371+ชุมพร!J371+ตรัง!J371+นครศรีธรรมราช!J371+นราธิวาส!J371+ปัตตานี!J371+พังงา!J371+พัทลุง!J371+ภูเก็ต!J371+ยะลา!J371+ระนอง!J371+สงขลา!J371+สตูล!J371+สุราษฎร์ธานี!J371</f>
        <v>0</v>
      </c>
      <c r="K371" s="167">
        <f t="shared" ca="1" si="73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กระบี่!I372+ชุมพร!I372+ตรัง!I372+นครศรีธรรมราช!I372+นราธิวาส!I372+ปัตตานี!I372+พังงา!I372+พัทลุง!I372+ภูเก็ต!I372+ยะลา!I372+ระนอง!I372+สงขลา!I372+สตูล!I372+สุราษฎร์ธานี!I372</f>
        <v>257</v>
      </c>
      <c r="J372" s="195">
        <f ca="1">กระบี่!J372+ชุมพร!J372+ตรัง!J372+นครศรีธรรมราช!J372+นราธิวาส!J372+ปัตตานี!J372+พังงา!J372+พัทลุง!J372+ภูเก็ต!J372+ยะลา!J372+ระนอง!J372+สงขลา!J372+สตูล!J372+สุราษฎร์ธานี!J372</f>
        <v>237</v>
      </c>
      <c r="K372" s="167">
        <f t="shared" ca="1" si="73"/>
        <v>92.217898832684824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กระบี่!I373+ชุมพร!I373+ตรัง!I373+นครศรีธรรมราช!I373+นราธิวาส!I373+ปัตตานี!I373+พังงา!I373+พัทลุง!I373+ภูเก็ต!I373+ยะลา!I373+ระนอง!I373+สงขลา!I373+สตูล!I373+สุราษฎร์ธานี!I373</f>
        <v>0</v>
      </c>
      <c r="J373" s="210">
        <f ca="1">กระบี่!J373+ชุมพร!J373+ตรัง!J373+นครศรีธรรมราช!J373+นราธิวาส!J373+ปัตตานี!J373+พังงา!J373+พัทลุง!J373+ภูเก็ต!J373+ยะลา!J373+ระนอง!J373+สงขลา!J373+สตูล!J373+สุราษฎร์ธานี!J373</f>
        <v>0</v>
      </c>
      <c r="K373" s="167">
        <f t="shared" ca="1" si="73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กระบี่!I374+ชุมพร!I374+ตรัง!I374+นครศรีธรรมราช!I374+นราธิวาส!I374+ปัตตานี!I374+พังงา!I374+พัทลุง!I374+ภูเก็ต!I374+ยะลา!I374+ระนอง!I374+สงขลา!I374+สตูล!I374+สุราษฎร์ธานี!I374</f>
        <v>0</v>
      </c>
      <c r="J374" s="194">
        <f ca="1">กระบี่!J374+ชุมพร!J374+ตรัง!J374+นครศรีธรรมราช!J374+นราธิวาส!J374+ปัตตานี!J374+พังงา!J374+พัทลุง!J374+ภูเก็ต!J374+ยะลา!J374+ระนอง!J374+สงขลา!J374+สตูล!J374+สุราษฎร์ธานี!J374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กระบี่!I375+ชุมพร!I375+ตรัง!I375+นครศรีธรรมราช!I375+นราธิวาส!I375+ปัตตานี!I375+พังงา!I375+พัทลุง!I375+ภูเก็ต!I375+ยะลา!I375+ระนอง!I375+สงขลา!I375+สตูล!I375+สุราษฎร์ธานี!I375</f>
        <v>793</v>
      </c>
      <c r="J375" s="194">
        <f ca="1">กระบี่!J375+ชุมพร!J375+ตรัง!J375+นครศรีธรรมราช!J375+นราธิวาส!J375+ปัตตานี!J375+พังงา!J375+พัทลุง!J375+ภูเก็ต!J375+ยะลา!J375+ระนอง!J375+สงขลา!J375+สตูล!J375+สุราษฎร์ธานี!J375</f>
        <v>753</v>
      </c>
      <c r="K375" s="167">
        <f t="shared" ref="K375:K377" ca="1" si="74">IF(I375&gt;0,J375*100/I375,0)</f>
        <v>94.955863808322832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กระบี่!I376+ชุมพร!I376+ตรัง!I376+นครศรีธรรมราช!I376+นราธิวาส!I376+ปัตตานี!I376+พังงา!I376+พัทลุง!I376+ภูเก็ต!I376+ยะลา!I376+ระนอง!I376+สงขลา!I376+สตูล!I376+สุราษฎร์ธานี!I376</f>
        <v>250</v>
      </c>
      <c r="J376" s="195">
        <f ca="1">กระบี่!J376+ชุมพร!J376+ตรัง!J376+นครศรีธรรมราช!J376+นราธิวาส!J376+ปัตตานี!J376+พังงา!J376+พัทลุง!J376+ภูเก็ต!J376+ยะลา!J376+ระนอง!J376+สงขลา!J376+สตูล!J376+สุราษฎร์ธานี!J376</f>
        <v>250</v>
      </c>
      <c r="K376" s="167">
        <f t="shared" ca="1" si="74"/>
        <v>100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กระบี่!I377+ชุมพร!I377+ตรัง!I377+นครศรีธรรมราช!I377+นราธิวาส!I377+ปัตตานี!I377+พังงา!I377+พัทลุง!I377+ภูเก็ต!I377+ยะลา!I377+ระนอง!I377+สงขลา!I377+สตูล!I377+สุราษฎร์ธานี!I377</f>
        <v>543</v>
      </c>
      <c r="J377" s="210">
        <f ca="1">กระบี่!J377+ชุมพร!J377+ตรัง!J377+นครศรีธรรมราช!J377+นราธิวาส!J377+ปัตตานี!J377+พังงา!J377+พัทลุง!J377+ภูเก็ต!J377+ยะลา!J377+ระนอง!J377+สงขลา!J377+สตูล!J377+สุราษฎร์ธานี!J377</f>
        <v>503</v>
      </c>
      <c r="K377" s="167">
        <f t="shared" ca="1" si="74"/>
        <v>92.633517495395949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กระบี่!J378+ชุมพร!J378+ตรัง!J378+นครศรีธรรมราช!J378+นราธิวาส!J378+ปัตตานี!J378+พังงา!J378+พัทลุง!J378+ภูเก็ต!J378+ยะลา!J378+ระนอง!J378+สงขลา!J378+สตูล!J378+สุราษฎร์ธานี!J378</f>
        <v>2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กระบี่!J379+ชุมพร!J379+ตรัง!J379+นครศรีธรรมราช!J379+นราธิวาส!J379+ปัตตานี!J379+พังงา!J379+พัทลุง!J379+ภูเก็ต!J379+ยะลา!J379+ระนอง!J379+สงขลา!J379+สตูล!J379+สุราษฎร์ธานี!J379</f>
        <v>2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กระบี่!I380+ชุมพร!I380+ตรัง!I380+นครศรีธรรมราช!I380+นราธิวาส!I380+ปัตตานี!I380+พังงา!I380+พัทลุง!I380+ภูเก็ต!I380+ยะลา!I380+ระนอง!I380+สงขลา!I380+สตูล!I380+สุราษฎร์ธานี!I380</f>
        <v>4700</v>
      </c>
      <c r="J380" s="377">
        <f ca="1">กระบี่!J380+ชุมพร!J380+ตรัง!J380+นครศรีธรรมราช!J380+นราธิวาส!J380+ปัตตานี!J380+พังงา!J380+พัทลุง!J380+ภูเก็ต!J380+ยะลา!J380+ระนอง!J380+สงขลา!J380+สตูล!J380+สุราษฎร์ธานี!J380</f>
        <v>4650</v>
      </c>
      <c r="K380" s="378">
        <f t="shared" ref="K380:K381" ca="1" si="75">IF(I380&gt;0,J380*100/I380,0)</f>
        <v>98.936170212765958</v>
      </c>
      <c r="L380" s="379">
        <f ca="1">กระบี่!L380+ชุมพร!L380+ตรัง!L380+นครศรีธรรมราช!L380+นราธิวาส!L380+ปัตตานี!L380+พังงา!L380+พัทลุง!L380+ภูเก็ต!L380+ยะลา!L380+ระนอง!L380+สงขลา!L380+สตูล!L380+สุราษฎร์ธานี!L380</f>
        <v>4832540</v>
      </c>
      <c r="M380" s="379"/>
      <c r="N380" s="379">
        <f ca="1">กระบี่!N380+ชุมพร!N380+ตรัง!N380+นครศรีธรรมราช!N380+นราธิวาส!N380+ปัตตานี!N380+พังงา!N380+พัทลุง!N380+ภูเก็ต!N380+ยะลา!N380+ระนอง!N380+สงขลา!N380+สตูล!N380+สุราษฎร์ธานี!N380</f>
        <v>3870745.1000000006</v>
      </c>
      <c r="O380" s="379">
        <f ca="1">+IF(L380&gt;0,N380*100/L380,0)</f>
        <v>80.097528421906503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กระบี่!I381+ชุมพร!I381+ตรัง!I381+นครศรีธรรมราช!I381+นราธิวาส!I381+ปัตตานี!I381+พังงา!I381+พัทลุง!I381+ภูเก็ต!I381+ยะลา!I381+ระนอง!I381+สงขลา!I381+สตูล!I381+สุราษฎร์ธานี!I381</f>
        <v>470</v>
      </c>
      <c r="J381" s="377">
        <f ca="1">กระบี่!J381+ชุมพร!J381+ตรัง!J381+นครศรีธรรมราช!J381+นราธิวาส!J381+ปัตตานี!J381+พังงา!J381+พัทลุง!J381+ภูเก็ต!J381+ยะลา!J381+ระนอง!J381+สงขลา!J381+สตูล!J381+สุราษฎร์ธานี!J381</f>
        <v>475</v>
      </c>
      <c r="K381" s="378">
        <f t="shared" ca="1" si="75"/>
        <v>101.06382978723404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กระบี่!L382+ชุมพร!L382+ตรัง!L382+นครศรีธรรมราช!L382+นราธิวาส!L382+ปัตตานี!L382+พังงา!L382+พัทลุง!L382+ภูเก็ต!L382+ยะลา!L382+ระนอง!L382+สงขลา!L382+สตูล!L382+สุราษฎร์ธานี!L382</f>
        <v>0</v>
      </c>
      <c r="M382" s="168"/>
      <c r="N382" s="168">
        <f ca="1">กระบี่!N382+ชุมพร!N382+ตรัง!N382+นครศรีธรรมราช!N382+นราธิวาส!N382+ปัตตานี!N382+พังงา!N382+พัทลุง!N382+ภูเก็ต!N382+ยะลา!N382+ระนอง!N382+สงขลา!N382+สตูล!N382+สุราษฎร์ธานี!N382</f>
        <v>0</v>
      </c>
      <c r="O382" s="169">
        <f t="shared" ref="O382:O385" ca="1" si="76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กระบี่!L383+ชุมพร!L383+ตรัง!L383+นครศรีธรรมราช!L383+นราธิวาส!L383+ปัตตานี!L383+พังงา!L383+พัทลุง!L383+ภูเก็ต!L383+ยะลา!L383+ระนอง!L383+สงขลา!L383+สตูล!L383+สุราษฎร์ธานี!L383</f>
        <v>4832540</v>
      </c>
      <c r="M383" s="169"/>
      <c r="N383" s="169">
        <f ca="1">กระบี่!N383+ชุมพร!N383+ตรัง!N383+นครศรีธรรมราช!N383+นราธิวาส!N383+ปัตตานี!N383+พังงา!N383+พัทลุง!N383+ภูเก็ต!N383+ยะลา!N383+ระนอง!N383+สงขลา!N383+สตูล!N383+สุราษฎร์ธานี!N383</f>
        <v>3870745.1000000006</v>
      </c>
      <c r="O383" s="169">
        <f t="shared" ca="1" si="76"/>
        <v>80.097528421906503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กระบี่!L384+ชุมพร!L384+ตรัง!L384+นครศรีธรรมราช!L384+นราธิวาส!L384+ปัตตานี!L384+พังงา!L384+พัทลุง!L384+ภูเก็ต!L384+ยะลา!L384+ระนอง!L384+สงขลา!L384+สตูล!L384+สุราษฎร์ธานี!L384</f>
        <v>0</v>
      </c>
      <c r="M384" s="175"/>
      <c r="N384" s="175">
        <f ca="1">กระบี่!N384+ชุมพร!N384+ตรัง!N384+นครศรีธรรมราช!N384+นราธิวาส!N384+ปัตตานี!N384+พังงา!N384+พัทลุง!N384+ภูเก็ต!N384+ยะลา!N384+ระนอง!N384+สงขลา!N384+สตูล!N384+สุราษฎร์ธานี!N384</f>
        <v>0</v>
      </c>
      <c r="O384" s="175">
        <f t="shared" ca="1" si="76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กระบี่!L385+ชุมพร!L385+ตรัง!L385+นครศรีธรรมราช!L385+นราธิวาส!L385+ปัตตานี!L385+พังงา!L385+พัทลุง!L385+ภูเก็ต!L385+ยะลา!L385+ระนอง!L385+สงขลา!L385+สตูล!L385+สุราษฎร์ธานี!L385</f>
        <v>4832540</v>
      </c>
      <c r="M385" s="175"/>
      <c r="N385" s="172">
        <f ca="1">กระบี่!N385+ชุมพร!N385+ตรัง!N385+นครศรีธรรมราช!N385+นราธิวาส!N385+ปัตตานี!N385+พังงา!N385+พัทลุง!N385+ภูเก็ต!N385+ยะลา!N385+ระนอง!N385+สงขลา!N385+สตูล!N385+สุราษฎร์ธานี!N385</f>
        <v>3870745.1000000006</v>
      </c>
      <c r="O385" s="175">
        <f t="shared" ca="1" si="76"/>
        <v>80.097528421906503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กระบี่!N386+ชุมพร!N386+ตรัง!N386+นครศรีธรรมราช!N386+นราธิวาส!N386+ปัตตานี!N386+พังงา!N386+พัทลุง!N386+ภูเก็ต!N386+ยะลา!N386+ระนอง!N386+สงขลา!N386+สตูล!N386+สุราษฎร์ธานี!N386</f>
        <v>1076460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กระบี่!N387+ชุมพร!N387+ตรัง!N387+นครศรีธรรมราช!N387+นราธิวาส!N387+ปัตตานี!N387+พังงา!N387+พัทลุง!N387+ภูเก็ต!N387+ยะลา!N387+ระนอง!N387+สงขลา!N387+สตูล!N387+สุราษฎร์ธานี!N387</f>
        <v>2276956.88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กระบี่!N388+ชุมพร!N388+ตรัง!N388+นครศรีธรรมราช!N388+นราธิวาส!N388+ปัตตานี!N388+พังงา!N388+พัทลุง!N388+ภูเก็ต!N388+ยะลา!N388+ระนอง!N388+สงขลา!N388+สตูล!N388+สุราษฎร์ธานี!N388</f>
        <v>201334.8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กระบี่!N389+ชุมพร!N389+ตรัง!N389+นครศรีธรรมราช!N389+นราธิวาส!N389+ปัตตานี!N389+พังงา!N389+พัทลุง!N389+ภูเก็ต!N389+ยะลา!N389+ระนอง!N389+สงขลา!N389+สตูล!N389+สุราษฎร์ธานี!N389</f>
        <v>315993.42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กระบี่!J391+ชุมพร!J391+ตรัง!J391+นครศรีธรรมราช!J391+นราธิวาส!J391+ปัตตานี!J391+พังงา!J391+พัทลุง!J391+ภูเก็ต!J391+ยะลา!J391+ระนอง!J391+สงขลา!J391+สตูล!J391+สุราษฎร์ธานี!J391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กระบี่!J392+ชุมพร!J392+ตรัง!J392+นครศรีธรรมราช!J392+นราธิวาส!J392+ปัตตานี!J392+พังงา!J392+พัทลุง!J392+ภูเก็ต!J392+ยะลา!J392+ระนอง!J392+สงขลา!J392+สตูล!J392+สุราษฎร์ธานี!J392</f>
        <v>14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กระบี่!J393+ชุมพร!J393+ตรัง!J393+นครศรีธรรมราช!J393+นราธิวาส!J393+ปัตตานี!J393+พังงา!J393+พัทลุง!J393+ภูเก็ต!J393+ยะลา!J393+ระนอง!J393+สงขลา!J393+สตูล!J393+สุราษฎร์ธานี!J393</f>
        <v>14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กระบี่!J394+ชุมพร!J394+ตรัง!J394+นครศรีธรรมราช!J394+นราธิวาส!J394+ปัตตานี!J394+พังงา!J394+พัทลุง!J394+ภูเก็ต!J394+ยะลา!J394+ระนอง!J394+สงขลา!J394+สตูล!J394+สุราษฎร์ธานี!J394</f>
        <v>14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กระบี่!I396+ชุมพร!I396+ตรัง!I396+นครศรีธรรมราช!I396+นราธิวาส!I396+ปัตตานี!I396+พังงา!I396+พัทลุง!I396+ภูเก็ต!I396+ยะลา!I396+ระนอง!I396+สงขลา!I396+สตูล!I396+สุราษฎร์ธานี!I396</f>
        <v>470</v>
      </c>
      <c r="J396" s="204">
        <f ca="1">กระบี่!J396+ชุมพร!J396+ตรัง!J396+นครศรีธรรมราช!J396+นราธิวาส!J396+ปัตตานี!J396+พังงา!J396+พัทลุง!J396+ภูเก็ต!J396+ยะลา!J396+ระนอง!J396+สงขลา!J396+สตูล!J396+สุราษฎร์ธานี!J396</f>
        <v>475</v>
      </c>
      <c r="K396" s="167">
        <f t="shared" ref="K396:K398" ca="1" si="77">IF(I396&gt;0,J396*100/I396,0)</f>
        <v>101.06382978723404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กระบี่!I397+ชุมพร!I397+ตรัง!I397+นครศรีธรรมราช!I397+นราธิวาส!I397+ปัตตานี!I397+พังงา!I397+พัทลุง!I397+ภูเก็ต!I397+ยะลา!I397+ระนอง!I397+สงขลา!I397+สตูล!I397+สุราษฎร์ธานี!I397</f>
        <v>4700</v>
      </c>
      <c r="J397" s="204">
        <f ca="1">กระบี่!J397+ชุมพร!J397+ตรัง!J397+นครศรีธรรมราช!J397+นราธิวาส!J397+ปัตตานี!J397+พังงา!J397+พัทลุง!J397+ภูเก็ต!J397+ยะลา!J397+ระนอง!J397+สงขลา!J397+สตูล!J397+สุราษฎร์ธานี!J397</f>
        <v>4650</v>
      </c>
      <c r="K397" s="167">
        <f t="shared" ca="1" si="77"/>
        <v>98.936170212765958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กระบี่!I398+ชุมพร!I398+ตรัง!I398+นครศรีธรรมราช!I398+นราธิวาส!I398+ปัตตานี!I398+พังงา!I398+พัทลุง!I398+ภูเก็ต!I398+ยะลา!I398+ระนอง!I398+สงขลา!I398+สตูล!I398+สุราษฎร์ธานี!I398</f>
        <v>470</v>
      </c>
      <c r="J398" s="204">
        <f ca="1">กระบี่!J398+ชุมพร!J398+ตรัง!J398+นครศรีธรรมราช!J398+นราธิวาส!J398+ปัตตานี!J398+พังงา!J398+พัทลุง!J398+ภูเก็ต!J398+ยะลา!J398+ระนอง!J398+สงขลา!J398+สตูล!J398+สุราษฎร์ธานี!J398</f>
        <v>544</v>
      </c>
      <c r="K398" s="167">
        <f t="shared" ca="1" si="77"/>
        <v>115.74468085106383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กระบี่!J399+ชุมพร!J399+ตรัง!J399+นครศรีธรรมราช!J399+นราธิวาส!J399+ปัตตานี!J399+พังงา!J399+พัทลุง!J399+ภูเก็ต!J399+ยะลา!J399+ระนอง!J399+สงขลา!J399+สตูล!J399+สุราษฎร์ธานี!J399</f>
        <v>4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กระบี่!J400+ชุมพร!J400+ตรัง!J400+นครศรีธรรมราช!J400+นราธิวาส!J400+ปัตตานี!J400+พังงา!J400+พัทลุง!J400+ภูเก็ต!J400+ยะลา!J400+ระนอง!J400+สงขลา!J400+สตูล!J400+สุราษฎร์ธานี!J400</f>
        <v>4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กระบี่!I401+ชุมพร!I401+ตรัง!I401+นครศรีธรรมราช!I401+นราธิวาส!I401+ปัตตานี!I401+พังงา!I401+พัทลุง!I401+ภูเก็ต!I401+ยะลา!I401+ระนอง!I401+สงขลา!I401+สตูล!I401+สุราษฎร์ธานี!I401</f>
        <v>1620</v>
      </c>
      <c r="J401" s="377">
        <f ca="1">กระบี่!J401+ชุมพร!J401+ตรัง!J401+นครศรีธรรมราช!J401+นราธิวาส!J401+ปัตตานี!J401+พังงา!J401+พัทลุง!J401+ภูเก็ต!J401+ยะลา!J401+ระนอง!J401+สงขลา!J401+สตูล!J401+สุราษฎร์ธานี!J401</f>
        <v>1620</v>
      </c>
      <c r="K401" s="378">
        <f t="shared" ref="K401:K402" ca="1" si="78">IF(I401&gt;0,J401*100/I401,0)</f>
        <v>100</v>
      </c>
      <c r="L401" s="379">
        <f ca="1">กระบี่!L401+ชุมพร!L401+ตรัง!L401+นครศรีธรรมราช!L401+นราธิวาส!L401+ปัตตานี!L401+พังงา!L401+พัทลุง!L401+ภูเก็ต!L401+ยะลา!L401+ระนอง!L401+สงขลา!L401+สตูล!L401+สุราษฎร์ธานี!L401</f>
        <v>1883810</v>
      </c>
      <c r="M401" s="379"/>
      <c r="N401" s="379">
        <f ca="1">กระบี่!N401+ชุมพร!N401+ตรัง!N401+นครศรีธรรมราช!N401+นราธิวาส!N401+ปัตตานี!N401+พังงา!N401+พัทลุง!N401+ภูเก็ต!N401+ยะลา!N401+ระนอง!N401+สงขลา!N401+สตูล!N401+สุราษฎร์ธานี!N401</f>
        <v>1773997.1</v>
      </c>
      <c r="O401" s="379">
        <f ca="1">+IF(L401&gt;0,N401*100/L401,0)</f>
        <v>94.170701928538435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กระบี่!I402+ชุมพร!I402+ตรัง!I402+นครศรีธรรมราช!I402+นราธิวาส!I402+ปัตตานี!I402+พังงา!I402+พัทลุง!I402+ภูเก็ต!I402+ยะลา!I402+ระนอง!I402+สงขลา!I402+สตูล!I402+สุราษฎร์ธานี!I402</f>
        <v>540</v>
      </c>
      <c r="J402" s="377">
        <f ca="1">กระบี่!J402+ชุมพร!J402+ตรัง!J402+นครศรีธรรมราช!J402+นราธิวาส!J402+ปัตตานี!J402+พังงา!J402+พัทลุง!J402+ภูเก็ต!J402+ยะลา!J402+ระนอง!J402+สงขลา!J402+สตูล!J402+สุราษฎร์ธานี!J402</f>
        <v>540</v>
      </c>
      <c r="K402" s="378">
        <f t="shared" ca="1" si="78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กระบี่!L403+ชุมพร!L403+ตรัง!L403+นครศรีธรรมราช!L403+นราธิวาส!L403+ปัตตานี!L403+พังงา!L403+พัทลุง!L403+ภูเก็ต!L403+ยะลา!L403+ระนอง!L403+สงขลา!L403+สตูล!L403+สุราษฎร์ธานี!L403</f>
        <v>0</v>
      </c>
      <c r="M403" s="168"/>
      <c r="N403" s="175">
        <f ca="1">กระบี่!N403+ชุมพร!N403+ตรัง!N403+นครศรีธรรมราช!N403+นราธิวาส!N403+ปัตตานี!N403+พังงา!N403+พัทลุง!N403+ภูเก็ต!N403+ยะลา!N403+ระนอง!N403+สงขลา!N403+สตูล!N403+สุราษฎร์ธานี!N403</f>
        <v>0</v>
      </c>
      <c r="O403" s="175">
        <f t="shared" ref="O403:O406" ca="1" si="79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กระบี่!L404+ชุมพร!L404+ตรัง!L404+นครศรีธรรมราช!L404+นราธิวาส!L404+ปัตตานี!L404+พังงา!L404+พัทลุง!L404+ภูเก็ต!L404+ยะลา!L404+ระนอง!L404+สงขลา!L404+สตูล!L404+สุราษฎร์ธานี!L404</f>
        <v>1883810</v>
      </c>
      <c r="M404" s="169"/>
      <c r="N404" s="175">
        <f ca="1">กระบี่!N404+ชุมพร!N404+ตรัง!N404+นครศรีธรรมราช!N404+นราธิวาส!N404+ปัตตานี!N404+พังงา!N404+พัทลุง!N404+ภูเก็ต!N404+ยะลา!N404+ระนอง!N404+สงขลา!N404+สตูล!N404+สุราษฎร์ธานี!N404</f>
        <v>1773997.1</v>
      </c>
      <c r="O404" s="175">
        <f t="shared" ca="1" si="79"/>
        <v>94.170701928538435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กระบี่!L405+ชุมพร!L405+ตรัง!L405+นครศรีธรรมราช!L405+นราธิวาส!L405+ปัตตานี!L405+พังงา!L405+พัทลุง!L405+ภูเก็ต!L405+ยะลา!L405+ระนอง!L405+สงขลา!L405+สตูล!L405+สุราษฎร์ธานี!L405</f>
        <v>0</v>
      </c>
      <c r="M405" s="175"/>
      <c r="N405" s="175">
        <f ca="1">กระบี่!N405+ชุมพร!N405+ตรัง!N405+นครศรีธรรมราช!N405+นราธิวาส!N405+ปัตตานี!N405+พังงา!N405+พัทลุง!N405+ภูเก็ต!N405+ยะลา!N405+ระนอง!N405+สงขลา!N405+สตูล!N405+สุราษฎร์ธานี!N405</f>
        <v>0</v>
      </c>
      <c r="O405" s="175">
        <f t="shared" ca="1" si="79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กระบี่!L406+ชุมพร!L406+ตรัง!L406+นครศรีธรรมราช!L406+นราธิวาส!L406+ปัตตานี!L406+พังงา!L406+พัทลุง!L406+ภูเก็ต!L406+ยะลา!L406+ระนอง!L406+สงขลา!L406+สตูล!L406+สุราษฎร์ธานี!L406</f>
        <v>1883810</v>
      </c>
      <c r="M406" s="175"/>
      <c r="N406" s="175">
        <f ca="1">กระบี่!N406+ชุมพร!N406+ตรัง!N406+นครศรีธรรมราช!N406+นราธิวาส!N406+ปัตตานี!N406+พังงา!N406+พัทลุง!N406+ภูเก็ต!N406+ยะลา!N406+ระนอง!N406+สงขลา!N406+สตูล!N406+สุราษฎร์ธานี!N406</f>
        <v>1773997.1</v>
      </c>
      <c r="O406" s="175">
        <f t="shared" ca="1" si="79"/>
        <v>94.170701928538435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กระบี่!N407+ชุมพร!N407+ตรัง!N407+นครศรีธรรมราช!N407+นราธิวาส!N407+ปัตตานี!N407+พังงา!N407+พัทลุง!N407+ภูเก็ต!N407+ยะลา!N407+ระนอง!N407+สงขลา!N407+สตูล!N407+สุราษฎร์ธานี!N407</f>
        <v>1084284.08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กระบี่!N408+ชุมพร!N408+ตรัง!N408+นครศรีธรรมราช!N408+นราธิวาส!N408+ปัตตานี!N408+พังงา!N408+พัทลุง!N408+ภูเก็ต!N408+ยะลา!N408+ระนอง!N408+สงขลา!N408+สตูล!N408+สุราษฎร์ธานี!N408</f>
        <v>366970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กระบี่!N409+ชุมพร!N409+ตรัง!N409+นครศรีธรรมราช!N409+นราธิวาส!N409+ปัตตานี!N409+พังงา!N409+พัทลุง!N409+ภูเก็ต!N409+ยะลา!N409+ระนอง!N409+สงขลา!N409+สตูล!N409+สุราษฎร์ธานี!N409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กระบี่!N410+ชุมพร!N410+ตรัง!N410+นครศรีธรรมราช!N410+นราธิวาส!N410+ปัตตานี!N410+พังงา!N410+พัทลุง!N410+ภูเก็ต!N410+ยะลา!N410+ระนอง!N410+สงขลา!N410+สตูล!N410+สุราษฎร์ธานี!N410</f>
        <v>322743.02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กระบี่!J412+ชุมพร!J412+ตรัง!J412+นครศรีธรรมราช!J412+นราธิวาส!J412+ปัตตานี!J412+พังงา!J412+พัทลุง!J412+ภูเก็ต!J412+ยะลา!J412+ระนอง!J412+สงขลา!J412+สตูล!J412+สุราษฎร์ธานี!J412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กระบี่!J413+ชุมพร!J413+ตรัง!J413+นครศรีธรรมราช!J413+นราธิวาส!J413+ปัตตานี!J413+พังงา!J413+พัทลุง!J413+ภูเก็ต!J413+ยะลา!J413+ระนอง!J413+สงขลา!J413+สตูล!J413+สุราษฎร์ธานี!J413</f>
        <v>14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กระบี่!J414+ชุมพร!J414+ตรัง!J414+นครศรีธรรมราช!J414+นราธิวาส!J414+ปัตตานี!J414+พังงา!J414+พัทลุง!J414+ภูเก็ต!J414+ยะลา!J414+ระนอง!J414+สงขลา!J414+สตูล!J414+สุราษฎร์ธานี!J414</f>
        <v>14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กระบี่!J415+ชุมพร!J415+ตรัง!J415+นครศรีธรรมราช!J415+นราธิวาส!J415+ปัตตานี!J415+พังงา!J415+พัทลุง!J415+ภูเก็ต!J415+ยะลา!J415+ระนอง!J415+สงขลา!J415+สตูล!J415+สุราษฎร์ธานี!J415</f>
        <v>14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กระบี่!I416+ชุมพร!I416+ตรัง!I416+นครศรีธรรมราช!I416+นราธิวาส!I416+ปัตตานี!I416+พังงา!I416+พัทลุง!I416+ภูเก็ต!I416+ยะลา!I416+ระนอง!I416+สงขลา!I416+สตูล!I416+สุราษฎร์ธานี!I416</f>
        <v>540</v>
      </c>
      <c r="J416" s="207">
        <f ca="1">กระบี่!J416+ชุมพร!J416+ตรัง!J416+นครศรีธรรมราช!J416+นราธิวาส!J416+ปัตตานี!J416+พังงา!J416+พัทลุง!J416+ภูเก็ต!J416+ยะลา!J416+ระนอง!J416+สงขลา!J416+สตูล!J416+สุราษฎร์ธานี!J416</f>
        <v>540</v>
      </c>
      <c r="K416" s="208">
        <f t="shared" ref="K416:K432" ca="1" si="80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กระบี่!I417+ชุมพร!I417+ตรัง!I417+นครศรีธรรมราช!I417+นราธิวาส!I417+ปัตตานี!I417+พังงา!I417+พัทลุง!I417+ภูเก็ต!I417+ยะลา!I417+ระนอง!I417+สงขลา!I417+สตูล!I417+สุราษฎร์ธานี!I417</f>
        <v>135</v>
      </c>
      <c r="J417" s="398">
        <f ca="1">กระบี่!J417+ชุมพร!J417+ตรัง!J417+นครศรีธรรมราช!J417+นราธิวาส!J417+ปัตตานี!J417+พังงา!J417+พัทลุง!J417+ภูเก็ต!J417+ยะลา!J417+ระนอง!J417+สงขลา!J417+สตูล!J417+สุราษฎร์ธานี!J417</f>
        <v>135</v>
      </c>
      <c r="K417" s="208">
        <f t="shared" ca="1" si="80"/>
        <v>100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กระบี่!I418+ชุมพร!I418+ตรัง!I418+นครศรีธรรมราช!I418+นราธิวาส!I418+ปัตตานี!I418+พังงา!I418+พัทลุง!I418+ภูเก็ต!I418+ยะลา!I418+ระนอง!I418+สงขลา!I418+สตูล!I418+สุราษฎร์ธานี!I418</f>
        <v>405</v>
      </c>
      <c r="J418" s="399">
        <f ca="1">กระบี่!J418+ชุมพร!J418+ตรัง!J418+นครศรีธรรมราช!J418+นราธิวาส!J418+ปัตตานี!J418+พังงา!J418+พัทลุง!J418+ภูเก็ต!J418+ยะลา!J418+ระนอง!J418+สงขลา!J418+สตูล!J418+สุราษฎร์ธานี!J418</f>
        <v>405</v>
      </c>
      <c r="K418" s="208">
        <f t="shared" ca="1" si="80"/>
        <v>100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กระบี่!I419+ชุมพร!I419+ตรัง!I419+นครศรีธรรมราช!I419+นราธิวาส!I419+ปัตตานี!I419+พังงา!I419+พัทลุง!I419+ภูเก็ต!I419+ยะลา!I419+ระนอง!I419+สงขลา!I419+สตูล!I419+สุราษฎร์ธานี!I419</f>
        <v>135</v>
      </c>
      <c r="J419" s="400">
        <f ca="1">กระบี่!J419+ชุมพร!J419+ตรัง!J419+นครศรีธรรมราช!J419+นราธิวาส!J419+ปัตตานี!J419+พังงา!J419+พัทลุง!J419+ภูเก็ต!J419+ยะลา!J419+ระนอง!J419+สงขลา!J419+สตูล!J419+สุราษฎร์ธานี!J419</f>
        <v>135</v>
      </c>
      <c r="K419" s="167">
        <f t="shared" ca="1" si="80"/>
        <v>100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กระบี่!I420+ชุมพร!I420+ตรัง!I420+นครศรีธรรมราช!I420+นราธิวาส!I420+ปัตตานี!I420+พังงา!I420+พัทลุง!I420+ภูเก็ต!I420+ยะลา!I420+ระนอง!I420+สงขลา!I420+สตูล!I420+สุราษฎร์ธานี!I420</f>
        <v>135</v>
      </c>
      <c r="J420" s="400">
        <f ca="1">กระบี่!J420+ชุมพร!J420+ตรัง!J420+นครศรีธรรมราช!J420+นราธิวาส!J420+ปัตตานี!J420+พังงา!J420+พัทลุง!J420+ภูเก็ต!J420+ยะลา!J420+ระนอง!J420+สงขลา!J420+สตูล!J420+สุราษฎร์ธานี!J420</f>
        <v>135</v>
      </c>
      <c r="K420" s="294">
        <f t="shared" ca="1" si="80"/>
        <v>100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กระบี่!I421+ชุมพร!I421+ตรัง!I421+นครศรีธรรมราช!I421+นราธิวาส!I421+ปัตตานี!I421+พังงา!I421+พัทลุง!I421+ภูเก็ต!I421+ยะลา!I421+ระนอง!I421+สงขลา!I421+สตูล!I421+สุราษฎร์ธานี!I421</f>
        <v>235</v>
      </c>
      <c r="J421" s="398">
        <f ca="1">กระบี่!J421+ชุมพร!J421+ตรัง!J421+นครศรีธรรมราช!J421+นราธิวาส!J421+ปัตตานี!J421+พังงา!J421+พัทลุง!J421+ภูเก็ต!J421+ยะลา!J421+ระนอง!J421+สงขลา!J421+สตูล!J421+สุราษฎร์ธานี!J421</f>
        <v>235</v>
      </c>
      <c r="K421" s="208">
        <f t="shared" ca="1" si="80"/>
        <v>100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กระบี่!I422+ชุมพร!I422+ตรัง!I422+นครศรีธรรมราช!I422+นราธิวาส!I422+ปัตตานี!I422+พังงา!I422+พัทลุง!I422+ภูเก็ต!I422+ยะลา!I422+ระนอง!I422+สงขลา!I422+สตูล!I422+สุราษฎร์ธานี!I422</f>
        <v>705</v>
      </c>
      <c r="J422" s="399">
        <f ca="1">กระบี่!J422+ชุมพร!J422+ตรัง!J422+นครศรีธรรมราช!J422+นราธิวาส!J422+ปัตตานี!J422+พังงา!J422+พัทลุง!J422+ภูเก็ต!J422+ยะลา!J422+ระนอง!J422+สงขลา!J422+สตูล!J422+สุราษฎร์ธานี!J422</f>
        <v>705</v>
      </c>
      <c r="K422" s="208">
        <f t="shared" ca="1" si="80"/>
        <v>100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กระบี่!I423+ชุมพร!I423+ตรัง!I423+นครศรีธรรมราช!I423+นราธิวาส!I423+ปัตตานี!I423+พังงา!I423+พัทลุง!I423+ภูเก็ต!I423+ยะลา!I423+ระนอง!I423+สงขลา!I423+สตูล!I423+สุราษฎร์ธานี!I423</f>
        <v>235</v>
      </c>
      <c r="J423" s="400">
        <f ca="1">กระบี่!J423+ชุมพร!J423+ตรัง!J423+นครศรีธรรมราช!J423+นราธิวาส!J423+ปัตตานี!J423+พังงา!J423+พัทลุง!J423+ภูเก็ต!J423+ยะลา!J423+ระนอง!J423+สงขลา!J423+สตูล!J423+สุราษฎร์ธานี!J423</f>
        <v>235</v>
      </c>
      <c r="K423" s="167">
        <f t="shared" ca="1" si="80"/>
        <v>100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กระบี่!I424+ชุมพร!I424+ตรัง!I424+นครศรีธรรมราช!I424+นราธิวาส!I424+ปัตตานี!I424+พังงา!I424+พัทลุง!I424+ภูเก็ต!I424+ยะลา!I424+ระนอง!I424+สงขลา!I424+สตูล!I424+สุราษฎร์ธานี!I424</f>
        <v>235</v>
      </c>
      <c r="J424" s="400">
        <f ca="1">กระบี่!J424+ชุมพร!J424+ตรัง!J424+นครศรีธรรมราช!J424+นราธิวาส!J424+ปัตตานี!J424+พังงา!J424+พัทลุง!J424+ภูเก็ต!J424+ยะลา!J424+ระนอง!J424+สงขลา!J424+สตูล!J424+สุราษฎร์ธานี!J424</f>
        <v>235</v>
      </c>
      <c r="K424" s="167">
        <f t="shared" ca="1" si="80"/>
        <v>100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กระบี่!I425+ชุมพร!I425+ตรัง!I425+นครศรีธรรมราช!I425+นราธิวาส!I425+ปัตตานี!I425+พังงา!I425+พัทลุง!I425+ภูเก็ต!I425+ยะลา!I425+ระนอง!I425+สงขลา!I425+สตูล!I425+สุราษฎร์ธานี!I425</f>
        <v>235</v>
      </c>
      <c r="J425" s="400">
        <f ca="1">กระบี่!J425+ชุมพร!J425+ตรัง!J425+นครศรีธรรมราช!J425+นราธิวาส!J425+ปัตตานี!J425+พังงา!J425+พัทลุง!J425+ภูเก็ต!J425+ยะลา!J425+ระนอง!J425+สงขลา!J425+สตูล!J425+สุราษฎร์ธานี!J425</f>
        <v>235</v>
      </c>
      <c r="K425" s="167">
        <f t="shared" ca="1" si="80"/>
        <v>100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กระบี่!I426+ชุมพร!I426+ตรัง!I426+นครศรีธรรมราช!I426+นราธิวาส!I426+ปัตตานี!I426+พังงา!I426+พัทลุง!I426+ภูเก็ต!I426+ยะลา!I426+ระนอง!I426+สงขลา!I426+สตูล!I426+สุราษฎร์ธานี!I426</f>
        <v>170</v>
      </c>
      <c r="J426" s="398">
        <f ca="1">กระบี่!J426+ชุมพร!J426+ตรัง!J426+นครศรีธรรมราช!J426+นราธิวาส!J426+ปัตตานี!J426+พังงา!J426+พัทลุง!J426+ภูเก็ต!J426+ยะลา!J426+ระนอง!J426+สงขลา!J426+สตูล!J426+สุราษฎร์ธานี!J426</f>
        <v>170</v>
      </c>
      <c r="K426" s="208">
        <f t="shared" ca="1" si="80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กระบี่!I427+ชุมพร!I427+ตรัง!I427+นครศรีธรรมราช!I427+นราธิวาส!I427+ปัตตานี!I427+พังงา!I427+พัทลุง!I427+ภูเก็ต!I427+ยะลา!I427+ระนอง!I427+สงขลา!I427+สตูล!I427+สุราษฎร์ธานี!I427</f>
        <v>510</v>
      </c>
      <c r="J427" s="399">
        <f ca="1">กระบี่!J427+ชุมพร!J427+ตรัง!J427+นครศรีธรรมราช!J427+นราธิวาส!J427+ปัตตานี!J427+พังงา!J427+พัทลุง!J427+ภูเก็ต!J427+ยะลา!J427+ระนอง!J427+สงขลา!J427+สตูล!J427+สุราษฎร์ธานี!J427</f>
        <v>510</v>
      </c>
      <c r="K427" s="208">
        <f t="shared" ca="1" si="80"/>
        <v>100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กระบี่!I428+ชุมพร!I428+ตรัง!I428+นครศรีธรรมราช!I428+นราธิวาส!I428+ปัตตานี!I428+พังงา!I428+พัทลุง!I428+ภูเก็ต!I428+ยะลา!I428+ระนอง!I428+สงขลา!I428+สตูล!I428+สุราษฎร์ธานี!I428</f>
        <v>170</v>
      </c>
      <c r="J428" s="400">
        <f ca="1">กระบี่!J428+ชุมพร!J428+ตรัง!J428+นครศรีธรรมราช!J428+นราธิวาส!J428+ปัตตานี!J428+พังงา!J428+พัทลุง!J428+ภูเก็ต!J428+ยะลา!J428+ระนอง!J428+สงขลา!J428+สตูล!J428+สุราษฎร์ธานี!J428</f>
        <v>170</v>
      </c>
      <c r="K428" s="167">
        <f t="shared" ca="1" si="80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กระบี่!I429+ชุมพร!I429+ตรัง!I429+นครศรีธรรมราช!I429+นราธิวาส!I429+ปัตตานี!I429+พังงา!I429+พัทลุง!I429+ภูเก็ต!I429+ยะลา!I429+ระนอง!I429+สงขลา!I429+สตูล!I429+สุราษฎร์ธานี!I429</f>
        <v>170</v>
      </c>
      <c r="J429" s="400">
        <f ca="1">กระบี่!J429+ชุมพร!J429+ตรัง!J429+นครศรีธรรมราช!J429+นราธิวาส!J429+ปัตตานี!J429+พังงา!J429+พัทลุง!J429+ภูเก็ต!J429+ยะลา!J429+ระนอง!J429+สงขลา!J429+สตูล!J429+สุราษฎร์ธานี!J429</f>
        <v>170</v>
      </c>
      <c r="K429" s="167">
        <f t="shared" ca="1" si="80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กระบี่!I430+ชุมพร!I430+ตรัง!I430+นครศรีธรรมราช!I430+นราธิวาส!I430+ปัตตานี!I430+พังงา!I430+พัทลุง!I430+ภูเก็ต!I430+ยะลา!I430+ระนอง!I430+สงขลา!I430+สตูล!I430+สุราษฎร์ธานี!I430</f>
        <v>370</v>
      </c>
      <c r="J430" s="398">
        <f ca="1">กระบี่!J430+ชุมพร!J430+ตรัง!J430+นครศรีธรรมราช!J430+นราธิวาส!J430+ปัตตานี!J430+พังงา!J430+พัทลุง!J430+ภูเก็ต!J430+ยะลา!J430+ระนอง!J430+สงขลา!J430+สตูล!J430+สุราษฎร์ธานี!J430</f>
        <v>270</v>
      </c>
      <c r="K430" s="208">
        <f t="shared" ca="1" si="80"/>
        <v>72.972972972972968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กระบี่!I431+ชุมพร!I431+ตรัง!I431+นครศรีธรรมราช!I431+นราธิวาส!I431+ปัตตานี!I431+พังงา!I431+พัทลุง!I431+ภูเก็ต!I431+ยะลา!I431+ระนอง!I431+สงขลา!I431+สตูล!I431+สุราษฎร์ธานี!I431</f>
        <v>135</v>
      </c>
      <c r="J431" s="400">
        <f ca="1">กระบี่!J431+ชุมพร!J431+ตรัง!J431+นครศรีธรรมราช!J431+นราธิวาส!J431+ปัตตานี!J431+พังงา!J431+พัทลุง!J431+ภูเก็ต!J431+ยะลา!J431+ระนอง!J431+สงขลา!J431+สตูล!J431+สุราษฎร์ธานี!J431</f>
        <v>115</v>
      </c>
      <c r="K431" s="167">
        <f t="shared" ca="1" si="80"/>
        <v>85.18518518518519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กระบี่!I432+ชุมพร!I432+ตรัง!I432+นครศรีธรรมราช!I432+นราธิวาส!I432+ปัตตานี!I432+พังงา!I432+พัทลุง!I432+ภูเก็ต!I432+ยะลา!I432+ระนอง!I432+สงขลา!I432+สตูล!I432+สุราษฎร์ธานี!I432</f>
        <v>235</v>
      </c>
      <c r="J432" s="400">
        <f ca="1">กระบี่!J432+ชุมพร!J432+ตรัง!J432+นครศรีธรรมราช!J432+นราธิวาส!J432+ปัตตานี!J432+พังงา!J432+พัทลุง!J432+ภูเก็ต!J432+ยะลา!J432+ระนอง!J432+สงขลา!J432+สตูล!J432+สุราษฎร์ธานี!J432</f>
        <v>155</v>
      </c>
      <c r="K432" s="167">
        <f t="shared" ca="1" si="80"/>
        <v>65.957446808510639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กระบี่!J433+ชุมพร!J433+ตรัง!J433+นครศรีธรรมราช!J433+นราธิวาส!J433+ปัตตานี!J433+พังงา!J433+พัทลุง!J433+ภูเก็ต!J433+ยะลา!J433+ระนอง!J433+สงขลา!J433+สตูล!J433+สุราษฎร์ธานี!J433</f>
        <v>3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กระบี่!J434+ชุมพร!J434+ตรัง!J434+นครศรีธรรมราช!J434+นราธิวาส!J434+ปัตตานี!J434+พังงา!J434+พัทลุง!J434+ภูเก็ต!J434+ยะลา!J434+ระนอง!J434+สงขลา!J434+สตูล!J434+สุราษฎร์ธานี!J434</f>
        <v>3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กระบี่!I435+ชุมพร!I435+ตรัง!I435+นครศรีธรรมราช!I435+นราธิวาส!I435+ปัตตานี!I435+พังงา!I435+พัทลุง!I435+ภูเก็ต!I435+ยะลา!I435+ระนอง!I435+สงขลา!I435+สตูล!I435+สุราษฎร์ธานี!I435</f>
        <v>235</v>
      </c>
      <c r="J435" s="416">
        <f ca="1">กระบี่!J435+ชุมพร!J435+ตรัง!J435+นครศรีธรรมราช!J435+นราธิวาส!J435+ปัตตานี!J435+พังงา!J435+พัทลุง!J435+ภูเก็ต!J435+ยะลา!J435+ระนอง!J435+สงขลา!J435+สตูล!J435+สุราษฎร์ธานี!J435</f>
        <v>235</v>
      </c>
      <c r="K435" s="417">
        <f ca="1">IF(I435&gt;0,J435*100/I435,0)</f>
        <v>100</v>
      </c>
      <c r="L435" s="418">
        <f ca="1">กระบี่!L435+ชุมพร!L435+ตรัง!L435+นครศรีธรรมราช!L435+นราธิวาส!L435+ปัตตานี!L435+พังงา!L435+พัทลุง!L435+ภูเก็ต!L435+ยะลา!L435+ระนอง!L435+สงขลา!L435+สตูล!L435+สุราษฎร์ธานี!L435</f>
        <v>2332300</v>
      </c>
      <c r="M435" s="418"/>
      <c r="N435" s="418">
        <f ca="1">กระบี่!N435+ชุมพร!N435+ตรัง!N435+นครศรีธรรมราช!N435+นราธิวาส!N435+ปัตตานี!N435+พังงา!N435+พัทลุง!N435+ภูเก็ต!N435+ยะลา!N435+ระนอง!N435+สงขลา!N435+สตูล!N435+สุราษฎร์ธานี!N435</f>
        <v>2122597.7699999996</v>
      </c>
      <c r="O435" s="418">
        <f t="shared" ref="O435:O439" ca="1" si="81">+IF(L435&gt;0,N435*100/L435,0)</f>
        <v>91.008779745315763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กระบี่!L436+ชุมพร!L436+ตรัง!L436+นครศรีธรรมราช!L436+นราธิวาส!L436+ปัตตานี!L436+พังงา!L436+พัทลุง!L436+ภูเก็ต!L436+ยะลา!L436+ระนอง!L436+สงขลา!L436+สตูล!L436+สุราษฎร์ธานี!L436</f>
        <v>0</v>
      </c>
      <c r="M436" s="168"/>
      <c r="N436" s="175">
        <f ca="1">กระบี่!N436+ชุมพร!N436+ตรัง!N436+นครศรีธรรมราช!N436+นราธิวาส!N436+ปัตตานี!N436+พังงา!N436+พัทลุง!N436+ภูเก็ต!N436+ยะลา!N436+ระนอง!N436+สงขลา!N436+สตูล!N436+สุราษฎร์ธานี!N436</f>
        <v>0</v>
      </c>
      <c r="O436" s="175">
        <f t="shared" ca="1" si="81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กระบี่!L437+ชุมพร!L437+ตรัง!L437+นครศรีธรรมราช!L437+นราธิวาส!L437+ปัตตานี!L437+พังงา!L437+พัทลุง!L437+ภูเก็ต!L437+ยะลา!L437+ระนอง!L437+สงขลา!L437+สตูล!L437+สุราษฎร์ธานี!L437</f>
        <v>2332300</v>
      </c>
      <c r="M437" s="169"/>
      <c r="N437" s="175">
        <f ca="1">กระบี่!N437+ชุมพร!N437+ตรัง!N437+นครศรีธรรมราช!N437+นราธิวาส!N437+ปัตตานี!N437+พังงา!N437+พัทลุง!N437+ภูเก็ต!N437+ยะลา!N437+ระนอง!N437+สงขลา!N437+สตูล!N437+สุราษฎร์ธานี!N437</f>
        <v>2122597.7699999996</v>
      </c>
      <c r="O437" s="175">
        <f t="shared" ca="1" si="81"/>
        <v>91.008779745315763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กระบี่!L438+ชุมพร!L438+ตรัง!L438+นครศรีธรรมราช!L438+นราธิวาส!L438+ปัตตานี!L438+พังงา!L438+พัทลุง!L438+ภูเก็ต!L438+ยะลา!L438+ระนอง!L438+สงขลา!L438+สตูล!L438+สุราษฎร์ธานี!L438</f>
        <v>0</v>
      </c>
      <c r="M438" s="175"/>
      <c r="N438" s="175">
        <f ca="1">กระบี่!N438+ชุมพร!N438+ตรัง!N438+นครศรีธรรมราช!N438+นราธิวาส!N438+ปัตตานี!N438+พังงา!N438+พัทลุง!N438+ภูเก็ต!N438+ยะลา!N438+ระนอง!N438+สงขลา!N438+สตูล!N438+สุราษฎร์ธานี!N438</f>
        <v>0</v>
      </c>
      <c r="O438" s="175">
        <f t="shared" ca="1" si="81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กระบี่!L439+ชุมพร!L439+ตรัง!L439+นครศรีธรรมราช!L439+นราธิวาส!L439+ปัตตานี!L439+พังงา!L439+พัทลุง!L439+ภูเก็ต!L439+ยะลา!L439+ระนอง!L439+สงขลา!L439+สตูล!L439+สุราษฎร์ธานี!L439</f>
        <v>1325300</v>
      </c>
      <c r="M439" s="175"/>
      <c r="N439" s="175">
        <f ca="1">กระบี่!N439+ชุมพร!N439+ตรัง!N439+นครศรีธรรมราช!N439+นราธิวาส!N439+ปัตตานี!N439+พังงา!N439+พัทลุง!N439+ภูเก็ต!N439+ยะลา!N439+ระนอง!N439+สงขลา!N439+สตูล!N439+สุราษฎร์ธานี!N439</f>
        <v>1115597.77</v>
      </c>
      <c r="O439" s="175">
        <f t="shared" ca="1" si="81"/>
        <v>84.176999169999249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กระบี่!N440+ชุมพร!N440+ตรัง!N440+นครศรีธรรมราช!N440+นราธิวาส!N440+ปัตตานี!N440+พังงา!N440+พัทลุง!N440+ภูเก็ต!N440+ยะลา!N440+ระนอง!N440+สงขลา!N440+สตูล!N440+สุราษฎร์ธานี!N440</f>
        <v>576664.25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กระบี่!N441+ชุมพร!N441+ตรัง!N441+นครศรีธรรมราช!N441+นราธิวาส!N441+ปัตตานี!N441+พังงา!N441+พัทลุง!N441+ภูเก็ต!N441+ยะลา!N441+ระนอง!N441+สงขลา!N441+สตูล!N441+สุราษฎร์ธานี!N441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กระบี่!N442+ชุมพร!N442+ตรัง!N442+นครศรีธรรมราช!N442+นราธิวาส!N442+ปัตตานี!N442+พังงา!N442+พัทลุง!N442+ภูเก็ต!N442+ยะลา!N442+ระนอง!N442+สงขลา!N442+สตูล!N442+สุราษฎร์ธานี!N442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กระบี่!N443+ชุมพร!N443+ตรัง!N443+นครศรีธรรมราช!N443+นราธิวาส!N443+ปัตตานี!N443+พังงา!N443+พัทลุง!N443+ภูเก็ต!N443+ยะลา!N443+ระนอง!N443+สงขลา!N443+สตูล!N443+สุราษฎร์ธานี!N443</f>
        <v>538933.52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กระบี่!J445+ชุมพร!J445+ตรัง!J445+นครศรีธรรมราช!J445+นราธิวาส!J445+ปัตตานี!J445+พังงา!J445+พัทลุง!J445+ภูเก็ต!J445+ยะลา!J445+ระนอง!J445+สงขลา!J445+สตูล!J445+สุราษฎร์ธานี!J445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กระบี่!J446+ชุมพร!J446+ตรัง!J446+นครศรีธรรมราช!J446+นราธิวาส!J446+ปัตตานี!J446+พังงา!J446+พัทลุง!J446+ภูเก็ต!J446+ยะลา!J446+ระนอง!J446+สงขลา!J446+สตูล!J446+สุราษฎร์ธานี!J446</f>
        <v>13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กระบี่!J447+ชุมพร!J447+ตรัง!J447+นครศรีธรรมราช!J447+นราธิวาส!J447+ปัตตานี!J447+พังงา!J447+พัทลุง!J447+ภูเก็ต!J447+ยะลา!J447+ระนอง!J447+สงขลา!J447+สตูล!J447+สุราษฎร์ธานี!J447</f>
        <v>14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กระบี่!J448+ชุมพร!J448+ตรัง!J448+นครศรีธรรมราช!J448+นราธิวาส!J448+ปัตตานี!J448+พังงา!J448+พัทลุง!J448+ภูเก็ต!J448+ยะลา!J448+ระนอง!J448+สงขลา!J448+สตูล!J448+สุราษฎร์ธานี!J448</f>
        <v>14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กระบี่!I449+ชุมพร!I449+ตรัง!I449+นครศรีธรรมราช!I449+นราธิวาส!I449+ปัตตานี!I449+พังงา!I449+พัทลุง!I449+ภูเก็ต!I449+ยะลา!I449+ระนอง!I449+สงขลา!I449+สตูล!I449+สุราษฎร์ธานี!I449</f>
        <v>235</v>
      </c>
      <c r="J449" s="207">
        <f ca="1">กระบี่!J449+ชุมพร!J449+ตรัง!J449+นครศรีธรรมราช!J449+นราธิวาส!J449+ปัตตานี!J449+พังงา!J449+พัทลุง!J449+ภูเก็ต!J449+ยะลา!J449+ระนอง!J449+สงขลา!J449+สตูล!J449+สุราษฎร์ธานี!J449</f>
        <v>235</v>
      </c>
      <c r="K449" s="167">
        <f t="shared" ref="K449:K452" ca="1" si="82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กระบี่!I450+ชุมพร!I450+ตรัง!I450+นครศรีธรรมราช!I450+นราธิวาส!I450+ปัตตานี!I450+พังงา!I450+พัทลุง!I450+ภูเก็ต!I450+ยะลา!I450+ระนอง!I450+สงขลา!I450+สตูล!I450+สุราษฎร์ธานี!I450</f>
        <v>195</v>
      </c>
      <c r="J450" s="195">
        <f ca="1">กระบี่!J450+ชุมพร!J450+ตรัง!J450+นครศรีธรรมราช!J450+นราธิวาส!J450+ปัตตานี!J450+พังงา!J450+พัทลุง!J450+ภูเก็ต!J450+ยะลา!J450+ระนอง!J450+สงขลา!J450+สตูล!J450+สุราษฎร์ธานี!J450</f>
        <v>195</v>
      </c>
      <c r="K450" s="167">
        <f t="shared" ca="1" si="82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กระบี่!I451+ชุมพร!I451+ตรัง!I451+นครศรีธรรมราช!I451+นราธิวาส!I451+ปัตตานี!I451+พังงา!I451+พัทลุง!I451+ภูเก็ต!I451+ยะลา!I451+ระนอง!I451+สงขลา!I451+สตูล!I451+สุราษฎร์ธานี!I451</f>
        <v>40</v>
      </c>
      <c r="J451" s="194">
        <f ca="1">กระบี่!J451+ชุมพร!J451+ตรัง!J451+นครศรีธรรมราช!J451+นราธิวาส!J451+ปัตตานี!J451+พังงา!J451+พัทลุง!J451+ภูเก็ต!J451+ยะลา!J451+ระนอง!J451+สงขลา!J451+สตูล!J451+สุราษฎร์ธานี!J451</f>
        <v>40</v>
      </c>
      <c r="K451" s="167">
        <f t="shared" ca="1" si="82"/>
        <v>100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กระบี่!I452+ชุมพร!I452+ตรัง!I452+นครศรีธรรมราช!I452+นราธิวาส!I452+ปัตตานี!I452+พังงา!I452+พัทลุง!I452+ภูเก็ต!I452+ยะลา!I452+ระนอง!I452+สงขลา!I452+สตูล!I452+สุราษฎร์ธานี!I452</f>
        <v>0</v>
      </c>
      <c r="J452" s="194">
        <f ca="1">กระบี่!J452+ชุมพร!J452+ตรัง!J452+นครศรีธรรมราช!J452+นราธิวาส!J452+ปัตตานี!J452+พังงา!J452+พัทลุง!J452+ภูเก็ต!J452+ยะลา!J452+ระนอง!J452+สงขลา!J452+สตูล!J452+สุราษฎร์ธานี!J452</f>
        <v>0</v>
      </c>
      <c r="K452" s="167">
        <f t="shared" ca="1" si="82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กระบี่!J453+ชุมพร!J453+ตรัง!J453+นครศรีธรรมราช!J453+นราธิวาส!J453+ปัตตานี!J453+พังงา!J453+พัทลุง!J453+ภูเก็ต!J453+ยะลา!J453+ระนอง!J453+สงขลา!J453+สตูล!J453+สุราษฎร์ธานี!J453</f>
        <v>3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กระบี่!J454+ชุมพร!J454+ตรัง!J454+นครศรีธรรมราช!J454+นราธิวาส!J454+ปัตตานี!J454+พังงา!J454+พัทลุง!J454+ภูเก็ต!J454+ยะลา!J454+ระนอง!J454+สงขลา!J454+สตูล!J454+สุราษฎร์ธานี!J454</f>
        <v>4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กระบี่!I455+ชุมพร!I455+ตรัง!I455+นครศรีธรรมราช!I455+นราธิวาส!I455+ปัตตานี!I455+พังงา!I455+พัทลุง!I455+ภูเก็ต!I455+ยะลา!I455+ระนอง!I455+สงขลา!I455+สตูล!I455+สุราษฎร์ธานี!I455</f>
        <v>514474</v>
      </c>
      <c r="J455" s="377">
        <f ca="1">กระบี่!J455+ชุมพร!J455+ตรัง!J455+นครศรีธรรมราช!J455+นราธิวาส!J455+ปัตตานี!J455+พังงา!J455+พัทลุง!J455+ภูเก็ต!J455+ยะลา!J455+ระนอง!J455+สงขลา!J455+สตูล!J455+สุราษฎร์ธานี!J455</f>
        <v>505908.35</v>
      </c>
      <c r="K455" s="378">
        <f ca="1">IF(I455&gt;0,J455*100/I455,0)</f>
        <v>98.335066495099852</v>
      </c>
      <c r="L455" s="379">
        <f ca="1">กระบี่!L455+ชุมพร!L455+ตรัง!L455+นครศรีธรรมราช!L455+นราธิวาส!L455+ปัตตานี!L455+พังงา!L455+พัทลุง!L455+ภูเก็ต!L455+ยะลา!L455+ระนอง!L455+สงขลา!L455+สตูล!L455+สุราษฎร์ธานี!L455</f>
        <v>3967460</v>
      </c>
      <c r="M455" s="379"/>
      <c r="N455" s="379">
        <f ca="1">กระบี่!N455+ชุมพร!N455+ตรัง!N455+นครศรีธรรมราช!N455+นราธิวาส!N455+ปัตตานี!N455+พังงา!N455+พัทลุง!N455+ภูเก็ต!N455+ยะลา!N455+ระนอง!N455+สงขลา!N455+สตูล!N455+สุราษฎร์ธานี!N455</f>
        <v>2200317.37</v>
      </c>
      <c r="O455" s="379">
        <f t="shared" ref="O455:O459" ca="1" si="83">+IF(L455&gt;0,N455*100/L455,0)</f>
        <v>55.459093979523423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กระบี่!L456+ชุมพร!L456+ตรัง!L456+นครศรีธรรมราช!L456+นราธิวาส!L456+ปัตตานี!L456+พังงา!L456+พัทลุง!L456+ภูเก็ต!L456+ยะลา!L456+ระนอง!L456+สงขลา!L456+สตูล!L456+สุราษฎร์ธานี!L456</f>
        <v>0</v>
      </c>
      <c r="M456" s="168"/>
      <c r="N456" s="175">
        <f ca="1">กระบี่!N456+ชุมพร!N456+ตรัง!N456+นครศรีธรรมราช!N456+นราธิวาส!N456+ปัตตานี!N456+พังงา!N456+พัทลุง!N456+ภูเก็ต!N456+ยะลา!N456+ระนอง!N456+สงขลา!N456+สตูล!N456+สุราษฎร์ธานี!N456</f>
        <v>0</v>
      </c>
      <c r="O456" s="175">
        <f t="shared" ca="1" si="83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กระบี่!L457+ชุมพร!L457+ตรัง!L457+นครศรีธรรมราช!L457+นราธิวาส!L457+ปัตตานี!L457+พังงา!L457+พัทลุง!L457+ภูเก็ต!L457+ยะลา!L457+ระนอง!L457+สงขลา!L457+สตูล!L457+สุราษฎร์ธานี!L457</f>
        <v>3967460</v>
      </c>
      <c r="M457" s="169"/>
      <c r="N457" s="175">
        <f ca="1">กระบี่!N457+ชุมพร!N457+ตรัง!N457+นครศรีธรรมราช!N457+นราธิวาส!N457+ปัตตานี!N457+พังงา!N457+พัทลุง!N457+ภูเก็ต!N457+ยะลา!N457+ระนอง!N457+สงขลา!N457+สตูล!N457+สุราษฎร์ธานี!N457</f>
        <v>2200317.37</v>
      </c>
      <c r="O457" s="175">
        <f t="shared" ca="1" si="83"/>
        <v>55.459093979523423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กระบี่!L458+ชุมพร!L458+ตรัง!L458+นครศรีธรรมราช!L458+นราธิวาส!L458+ปัตตานี!L458+พังงา!L458+พัทลุง!L458+ภูเก็ต!L458+ยะลา!L458+ระนอง!L458+สงขลา!L458+สตูล!L458+สุราษฎร์ธานี!L458</f>
        <v>0</v>
      </c>
      <c r="M458" s="175"/>
      <c r="N458" s="175">
        <f ca="1">กระบี่!N458+ชุมพร!N458+ตรัง!N458+นครศรีธรรมราช!N458+นราธิวาส!N458+ปัตตานี!N458+พังงา!N458+พัทลุง!N458+ภูเก็ต!N458+ยะลา!N458+ระนอง!N458+สงขลา!N458+สตูล!N458+สุราษฎร์ธานี!N458</f>
        <v>0</v>
      </c>
      <c r="O458" s="175">
        <f t="shared" ca="1" si="83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กระบี่!L459+ชุมพร!L459+ตรัง!L459+นครศรีธรรมราช!L459+นราธิวาส!L459+ปัตตานี!L459+พังงา!L459+พัทลุง!L459+ภูเก็ต!L459+ยะลา!L459+ระนอง!L459+สงขลา!L459+สตูล!L459+สุราษฎร์ธานี!L459</f>
        <v>3967460</v>
      </c>
      <c r="M459" s="175"/>
      <c r="N459" s="175">
        <f ca="1">กระบี่!N459+ชุมพร!N459+ตรัง!N459+นครศรีธรรมราช!N459+นราธิวาส!N459+ปัตตานี!N459+พังงา!N459+พัทลุง!N459+ภูเก็ต!N459+ยะลา!N459+ระนอง!N459+สงขลา!N459+สตูล!N459+สุราษฎร์ธานี!N459</f>
        <v>2200317.37</v>
      </c>
      <c r="O459" s="175">
        <f t="shared" ca="1" si="83"/>
        <v>55.459093979523423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กระบี่!N460+ชุมพร!N460+ตรัง!N460+นครศรีธรรมราช!N460+นราธิวาส!N460+ปัตตานี!N460+พังงา!N460+พัทลุง!N460+ภูเก็ต!N460+ยะลา!N460+ระนอง!N460+สงขลา!N460+สตูล!N460+สุราษฎร์ธานี!N460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กระบี่!N461+ชุมพร!N461+ตรัง!N461+นครศรีธรรมราช!N461+นราธิวาส!N461+ปัตตานี!N461+พังงา!N461+พัทลุง!N461+ภูเก็ต!N461+ยะลา!N461+ระนอง!N461+สงขลา!N461+สตูล!N461+สุราษฎร์ธานี!N461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กระบี่!N462+ชุมพร!N462+ตรัง!N462+นครศรีธรรมราช!N462+นราธิวาส!N462+ปัตตานี!N462+พังงา!N462+พัทลุง!N462+ภูเก็ต!N462+ยะลา!N462+ระนอง!N462+สงขลา!N462+สตูล!N462+สุราษฎร์ธานี!N462</f>
        <v>543065.42999999993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กระบี่!N463+ชุมพร!N463+ตรัง!N463+นครศรีธรรมราช!N463+นราธิวาส!N463+ปัตตานี!N463+พังงา!N463+พัทลุง!N463+ภูเก็ต!N463+ยะลา!N463+ระนอง!N463+สงขลา!N463+สตูล!N463+สุราษฎร์ธานี!N463</f>
        <v>1657251.94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กระบี่!I464+ชุมพร!I464+ตรัง!I464+นครศรีธรรมราช!I464+นราธิวาส!I464+ปัตตานี!I464+พังงา!I464+พัทลุง!I464+ภูเก็ต!I464+ยะลา!I464+ระนอง!I464+สงขลา!I464+สตูล!I464+สุราษฎร์ธานี!I464</f>
        <v>514474</v>
      </c>
      <c r="J464" s="273">
        <f ca="1">กระบี่!J464+ชุมพร!J464+ตรัง!J464+นครศรีธรรมราช!J464+นราธิวาส!J464+ปัตตานี!J464+พังงา!J464+พัทลุง!J464+ภูเก็ต!J464+ยะลา!J464+ระนอง!J464+สงขลา!J464+สตูล!J464+สุราษฎร์ธานี!J464</f>
        <v>505908.35</v>
      </c>
      <c r="K464" s="274">
        <f t="shared" ref="K464:K515" ca="1" si="84">IF(I464&gt;0,J464*100/I464,0)</f>
        <v>98.335066495099852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กระบี่!I465+ชุมพร!I465+ตรัง!I465+นครศรีธรรมราช!I465+นราธิวาส!I465+ปัตตานี!I465+พังงา!I465+พัทลุง!I465+ภูเก็ต!I465+ยะลา!I465+ระนอง!I465+สงขลา!I465+สตูล!I465+สุราษฎร์ธานี!I465</f>
        <v>514474</v>
      </c>
      <c r="J465" s="426">
        <f ca="1">กระบี่!J465+ชุมพร!J465+ตรัง!J465+นครศรีธรรมราช!J465+นราธิวาส!J465+ปัตตานี!J465+พังงา!J465+พัทลุง!J465+ภูเก็ต!J465+ยะลา!J465+ระนอง!J465+สงขลา!J465+สตูล!J465+สุราษฎร์ธานี!J465</f>
        <v>515168.41000000003</v>
      </c>
      <c r="K465" s="208">
        <f t="shared" ca="1" si="84"/>
        <v>100.13497475091064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กระบี่!I466+ชุมพร!I466+ตรัง!I466+นครศรีธรรมราช!I466+นราธิวาส!I466+ปัตตานี!I466+พังงา!I466+พัทลุง!I466+ภูเก็ต!I466+ยะลา!I466+ระนอง!I466+สงขลา!I466+สตูล!I466+สุราษฎร์ธานี!I466</f>
        <v>51591</v>
      </c>
      <c r="J466" s="426">
        <f ca="1">กระบี่!J466+ชุมพร!J466+ตรัง!J466+นครศรีธรรมราช!J466+นราธิวาส!J466+ปัตตานี!J466+พังงา!J466+พัทลุง!J466+ภูเก็ต!J466+ยะลา!J466+ระนอง!J466+สงขลา!J466+สตูล!J466+สุราษฎร์ธานี!J466</f>
        <v>51590</v>
      </c>
      <c r="K466" s="208">
        <f t="shared" ca="1" si="84"/>
        <v>99.99806167742436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กระบี่!I467+ชุมพร!I467+ตรัง!I467+นครศรีธรรมราช!I467+นราธิวาส!I467+ปัตตานี!I467+พังงา!I467+พัทลุง!I467+ภูเก็ต!I467+ยะลา!I467+ระนอง!I467+สงขลา!I467+สตูล!I467+สุราษฎร์ธานี!I467</f>
        <v>0</v>
      </c>
      <c r="J467" s="195">
        <f ca="1">กระบี่!J467+ชุมพร!J467+ตรัง!J467+นครศรีธรรมราช!J467+นราธิวาส!J467+ปัตตานี!J467+พังงา!J467+พัทลุง!J467+ภูเก็ต!J467+ยะลา!J467+ระนอง!J467+สงขลา!J467+สตูล!J467+สุราษฎร์ธานี!J467</f>
        <v>451473.12</v>
      </c>
      <c r="K467" s="167">
        <f t="shared" ca="1" si="84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กระบี่!I468+ชุมพร!I468+ตรัง!I468+นครศรีธรรมราช!I468+นราธิวาส!I468+ปัตตานี!I468+พังงา!I468+พัทลุง!I468+ภูเก็ต!I468+ยะลา!I468+ระนอง!I468+สงขลา!I468+สตูล!I468+สุราษฎร์ธานี!I468</f>
        <v>0</v>
      </c>
      <c r="J468" s="195">
        <f ca="1">กระบี่!J468+ชุมพร!J468+ตรัง!J468+นครศรีธรรมราช!J468+นราธิวาส!J468+ปัตตานี!J468+พังงา!J468+พัทลุง!J468+ภูเก็ต!J468+ยะลา!J468+ระนอง!J468+สงขลา!J468+สตูล!J468+สุราษฎร์ธานี!J468</f>
        <v>46158</v>
      </c>
      <c r="K468" s="167">
        <f t="shared" ca="1" si="84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กระบี่!I469+ชุมพร!I469+ตรัง!I469+นครศรีธรรมราช!I469+นราธิวาส!I469+ปัตตานี!I469+พังงา!I469+พัทลุง!I469+ภูเก็ต!I469+ยะลา!I469+ระนอง!I469+สงขลา!I469+สตูล!I469+สุราษฎร์ธานี!I469</f>
        <v>0</v>
      </c>
      <c r="J469" s="195">
        <f ca="1">กระบี่!J469+ชุมพร!J469+ตรัง!J469+นครศรีธรรมราช!J469+นราธิวาส!J469+ปัตตานี!J469+พังงา!J469+พัทลุง!J469+ภูเก็ต!J469+ยะลา!J469+ระนอง!J469+สงขลา!J469+สตูล!J469+สุราษฎร์ธานี!J469</f>
        <v>56001.1</v>
      </c>
      <c r="K469" s="167">
        <f t="shared" ca="1" si="84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กระบี่!I470+ชุมพร!I470+ตรัง!I470+นครศรีธรรมราช!I470+นราธิวาส!I470+ปัตตานี!I470+พังงา!I470+พัทลุง!I470+ภูเก็ต!I470+ยะลา!I470+ระนอง!I470+สงขลา!I470+สตูล!I470+สุราษฎร์ธานี!I470</f>
        <v>0</v>
      </c>
      <c r="J470" s="195">
        <f ca="1">กระบี่!J470+ชุมพร!J470+ตรัง!J470+นครศรีธรรมราช!J470+นราธิวาส!J470+ปัตตานี!J470+พังงา!J470+พัทลุง!J470+ภูเก็ต!J470+ยะลา!J470+ระนอง!J470+สงขลา!J470+สตูล!J470+สุราษฎร์ธานี!J470</f>
        <v>4673</v>
      </c>
      <c r="K470" s="167">
        <f t="shared" ca="1" si="84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กระบี่!I471+ชุมพร!I471+ตรัง!I471+นครศรีธรรมราช!I471+นราธิวาส!I471+ปัตตานี!I471+พังงา!I471+พัทลุง!I471+ภูเก็ต!I471+ยะลา!I471+ระนอง!I471+สงขลา!I471+สตูล!I471+สุราษฎร์ธานี!I471</f>
        <v>0</v>
      </c>
      <c r="J471" s="195">
        <f ca="1">กระบี่!J471+ชุมพร!J471+ตรัง!J471+นครศรีธรรมราช!J471+นราธิวาส!J471+ปัตตานี!J471+พังงา!J471+พัทลุง!J471+ภูเก็ต!J471+ยะลา!J471+ระนอง!J471+สงขลา!J471+สตูล!J471+สุราษฎร์ธานี!J471</f>
        <v>7694.1900000000005</v>
      </c>
      <c r="K471" s="167">
        <f t="shared" ca="1" si="84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กระบี่!I472+ชุมพร!I472+ตรัง!I472+นครศรีธรรมราช!I472+นราธิวาส!I472+ปัตตานี!I472+พังงา!I472+พัทลุง!I472+ภูเก็ต!I472+ยะลา!I472+ระนอง!I472+สงขลา!I472+สตูล!I472+สุราษฎร์ธานี!I472</f>
        <v>0</v>
      </c>
      <c r="J472" s="195">
        <f ca="1">กระบี่!J472+ชุมพร!J472+ตรัง!J472+นครศรีธรรมราช!J472+นราธิวาส!J472+ปัตตานี!J472+พังงา!J472+พัทลุง!J472+ภูเก็ต!J472+ยะลา!J472+ระนอง!J472+สงขลา!J472+สตูล!J472+สุราษฎร์ธานี!J472</f>
        <v>759</v>
      </c>
      <c r="K472" s="167">
        <f t="shared" ca="1" si="84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กระบี่!I473+ชุมพร!I473+ตรัง!I473+นครศรีธรรมราช!I473+นราธิวาส!I473+ปัตตานี!I473+พังงา!I473+พัทลุง!I473+ภูเก็ต!I473+ยะลา!I473+ระนอง!I473+สงขลา!I473+สตูล!I473+สุราษฎร์ธานี!I473</f>
        <v>514474</v>
      </c>
      <c r="J473" s="426">
        <f ca="1">กระบี่!J473+ชุมพร!J473+ตรัง!J473+นครศรีธรรมราช!J473+นราธิวาส!J473+ปัตตานี!J473+พังงา!J473+พัทลุง!J473+ภูเก็ต!J473+ยะลา!J473+ระนอง!J473+สงขลา!J473+สตูล!J473+สุราษฎร์ธานี!J473</f>
        <v>514482.67000000004</v>
      </c>
      <c r="K473" s="208">
        <f t="shared" ca="1" si="84"/>
        <v>100.00168521635692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กระบี่!I474+ชุมพร!I474+ตรัง!I474+นครศรีธรรมราช!I474+นราธิวาส!I474+ปัตตานี!I474+พังงา!I474+พัทลุง!I474+ภูเก็ต!I474+ยะลา!I474+ระนอง!I474+สงขลา!I474+สตูล!I474+สุราษฎร์ธานี!I474</f>
        <v>51591</v>
      </c>
      <c r="J474" s="426">
        <f ca="1">กระบี่!J474+ชุมพร!J474+ตรัง!J474+นครศรีธรรมราช!J474+นราธิวาส!J474+ปัตตานี!J474+พังงา!J474+พัทลุง!J474+ภูเก็ต!J474+ยะลา!J474+ระนอง!J474+สงขลา!J474+สตูล!J474+สุราษฎร์ธานี!J474</f>
        <v>51590</v>
      </c>
      <c r="K474" s="208">
        <f t="shared" ca="1" si="84"/>
        <v>99.99806167742436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กระบี่!I475+ชุมพร!I475+ตรัง!I475+นครศรีธรรมราช!I475+นราธิวาส!I475+ปัตตานี!I475+พังงา!I475+พัทลุง!I475+ภูเก็ต!I475+ยะลา!I475+ระนอง!I475+สงขลา!I475+สตูล!I475+สุราษฎร์ธานี!I475</f>
        <v>0</v>
      </c>
      <c r="J475" s="195">
        <f ca="1">กระบี่!J475+ชุมพร!J475+ตรัง!J475+นครศรีธรรมราช!J475+นราธิวาส!J475+ปัตตานี!J475+พังงา!J475+พัทลุง!J475+ภูเก็ต!J475+ยะลา!J475+ระนอง!J475+สงขลา!J475+สตูล!J475+สุราษฎร์ธานี!J475</f>
        <v>458533.38</v>
      </c>
      <c r="K475" s="167">
        <f t="shared" ca="1" si="84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กระบี่!I476+ชุมพร!I476+ตรัง!I476+นครศรีธรรมราช!I476+นราธิวาส!I476+ปัตตานี!I476+พังงา!I476+พัทลุง!I476+ภูเก็ต!I476+ยะลา!I476+ระนอง!I476+สงขลา!I476+สตูล!I476+สุราษฎร์ธานี!I476</f>
        <v>0</v>
      </c>
      <c r="J476" s="195">
        <f ca="1">กระบี่!J476+ชุมพร!J476+ตรัง!J476+นครศรีธรรมราช!J476+นราธิวาส!J476+ปัตตานี!J476+พังงา!J476+พัทลุง!J476+ภูเก็ต!J476+ยะลา!J476+ระนอง!J476+สงขลา!J476+สตูล!J476+สุราษฎร์ธานี!J476</f>
        <v>46995</v>
      </c>
      <c r="K476" s="167">
        <f t="shared" ca="1" si="84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กระบี่!I477+ชุมพร!I477+ตรัง!I477+นครศรีธรรมราช!I477+นราธิวาส!I477+ปัตตานี!I477+พังงา!I477+พัทลุง!I477+ภูเก็ต!I477+ยะลา!I477+ระนอง!I477+สงขลา!I477+สตูล!I477+สุราษฎร์ธานี!I477</f>
        <v>0</v>
      </c>
      <c r="J477" s="195">
        <f ca="1">กระบี่!J477+ชุมพร!J477+ตรัง!J477+นครศรีธรรมราช!J477+นราธิวาส!J477+ปัตตานี!J477+พังงา!J477+พัทลุง!J477+ภูเก็ต!J477+ยะลา!J477+ระนอง!J477+สงขลา!J477+สตูล!J477+สุราษฎร์ธานี!J477</f>
        <v>47803</v>
      </c>
      <c r="K477" s="167">
        <f t="shared" ca="1" si="84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กระบี่!I478+ชุมพร!I478+ตรัง!I478+นครศรีธรรมราช!I478+นราธิวาส!I478+ปัตตานี!I478+พังงา!I478+พัทลุง!I478+ภูเก็ต!I478+ยะลา!I478+ระนอง!I478+สงขลา!I478+สตูล!I478+สุราษฎร์ธานี!I478</f>
        <v>0</v>
      </c>
      <c r="J478" s="195">
        <f ca="1">กระบี่!J478+ชุมพร!J478+ตรัง!J478+นครศรีธรรมราช!J478+นราธิวาส!J478+ปัตตานี!J478+พังงา!J478+พัทลุง!J478+ภูเก็ต!J478+ยะลา!J478+ระนอง!J478+สงขลา!J478+สตูล!J478+สุราษฎร์ธานี!J478</f>
        <v>3778</v>
      </c>
      <c r="K478" s="167">
        <f t="shared" ca="1" si="84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กระบี่!I479+ชุมพร!I479+ตรัง!I479+นครศรีธรรมราช!I479+นราธิวาส!I479+ปัตตานี!I479+พังงา!I479+พัทลุง!I479+ภูเก็ต!I479+ยะลา!I479+ระนอง!I479+สงขลา!I479+สตูล!I479+สุราษฎร์ธานี!I479</f>
        <v>0</v>
      </c>
      <c r="J479" s="195">
        <f ca="1">กระบี่!J479+ชุมพร!J479+ตรัง!J479+นครศรีธรรมราช!J479+นราธิวาส!J479+ปัตตานี!J479+พังงา!J479+พัทลุง!J479+ภูเก็ต!J479+ยะลา!J479+ระนอง!J479+สงขลา!J479+สตูล!J479+สุราษฎร์ธานี!J479</f>
        <v>8146.29</v>
      </c>
      <c r="K479" s="167">
        <f t="shared" ca="1" si="84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กระบี่!I480+ชุมพร!I480+ตรัง!I480+นครศรีธรรมราช!I480+นราธิวาส!I480+ปัตตานี!I480+พังงา!I480+พัทลุง!I480+ภูเก็ต!I480+ยะลา!I480+ระนอง!I480+สงขลา!I480+สตูล!I480+สุราษฎร์ธานี!I480</f>
        <v>0</v>
      </c>
      <c r="J480" s="195">
        <f ca="1">กระบี่!J480+ชุมพร!J480+ตรัง!J480+นครศรีธรรมราช!J480+นราธิวาส!J480+ปัตตานี!J480+พังงา!J480+พัทลุง!J480+ภูเก็ต!J480+ยะลา!J480+ระนอง!J480+สงขลา!J480+สตูล!J480+สุราษฎร์ธานี!J480</f>
        <v>817</v>
      </c>
      <c r="K480" s="167">
        <f t="shared" ca="1" si="84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กระบี่!I481+ชุมพร!I481+ตรัง!I481+นครศรีธรรมราช!I481+นราธิวาส!I481+ปัตตานี!I481+พังงา!I481+พัทลุง!I481+ภูเก็ต!I481+ยะลา!I481+ระนอง!I481+สงขลา!I481+สตูล!I481+สุราษฎร์ธานี!I481</f>
        <v>514474</v>
      </c>
      <c r="J481" s="426">
        <f ca="1">กระบี่!J481+ชุมพร!J481+ตรัง!J481+นครศรีธรรมราช!J481+นราธิวาส!J481+ปัตตานี!J481+พังงา!J481+พัทลุง!J481+ภูเก็ต!J481+ยะลา!J481+ระนอง!J481+สงขลา!J481+สตูล!J481+สุราษฎร์ธานี!J481</f>
        <v>505908.35</v>
      </c>
      <c r="K481" s="208">
        <f t="shared" ca="1" si="84"/>
        <v>98.335066495099852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กระบี่!I482+ชุมพร!I482+ตรัง!I482+นครศรีธรรมราช!I482+นราธิวาส!I482+ปัตตานี!I482+พังงา!I482+พัทลุง!I482+ภูเก็ต!I482+ยะลา!I482+ระนอง!I482+สงขลา!I482+สตูล!I482+สุราษฎร์ธานี!I482</f>
        <v>51591</v>
      </c>
      <c r="J482" s="426">
        <f ca="1">กระบี่!J482+ชุมพร!J482+ตรัง!J482+นครศรีธรรมราช!J482+นราธิวาส!J482+ปัตตานี!J482+พังงา!J482+พัทลุง!J482+ภูเก็ต!J482+ยะลา!J482+ระนอง!J482+สงขลา!J482+สตูล!J482+สุราษฎร์ธานี!J482</f>
        <v>51084</v>
      </c>
      <c r="K482" s="208">
        <f t="shared" ca="1" si="84"/>
        <v>99.017270454148985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กระบี่!I483+ชุมพร!I483+ตรัง!I483+นครศรีธรรมราช!I483+นราธิวาส!I483+ปัตตานี!I483+พังงา!I483+พัทลุง!I483+ภูเก็ต!I483+ยะลา!I483+ระนอง!I483+สงขลา!I483+สตูล!I483+สุราษฎร์ธานี!I483</f>
        <v>0</v>
      </c>
      <c r="J483" s="195">
        <f ca="1">กระบี่!J483+ชุมพร!J483+ตรัง!J483+นครศรีธรรมราช!J483+นราธิวาส!J483+ปัตตานี!J483+พังงา!J483+พัทลุง!J483+ภูเก็ต!J483+ยะลา!J483+ระนอง!J483+สงขลา!J483+สตูล!J483+สุราษฎร์ธานี!J483</f>
        <v>468397.95</v>
      </c>
      <c r="K483" s="167">
        <f t="shared" ca="1" si="84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กระบี่!I484+ชุมพร!I484+ตรัง!I484+นครศรีธรรมราช!I484+นราธิวาส!I484+ปัตตานี!I484+พังงา!I484+พัทลุง!I484+ภูเก็ต!I484+ยะลา!I484+ระนอง!I484+สงขลา!I484+สตูล!I484+สุราษฎร์ธานี!I484</f>
        <v>0</v>
      </c>
      <c r="J484" s="195">
        <f ca="1">กระบี่!J484+ชุมพร!J484+ตรัง!J484+นครศรีธรรมราช!J484+นราธิวาส!J484+ปัตตานี!J484+พังงา!J484+พัทลุง!J484+ภูเก็ต!J484+ยะลา!J484+ระนอง!J484+สงขลา!J484+สตูล!J484+สุราษฎร์ธานี!J484</f>
        <v>47489</v>
      </c>
      <c r="K484" s="167">
        <f t="shared" ca="1" si="84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กระบี่!I485+ชุมพร!I485+ตรัง!I485+นครศรีธรรมราช!I485+นราธิวาส!I485+ปัตตานี!I485+พังงา!I485+พัทลุง!I485+ภูเก็ต!I485+ยะลา!I485+ระนอง!I485+สงขลา!I485+สตูล!I485+สุราษฎร์ธานี!I485</f>
        <v>0</v>
      </c>
      <c r="J485" s="195">
        <f ca="1">กระบี่!J485+ชุมพร!J485+ตรัง!J485+นครศรีธรรมราช!J485+นราธิวาส!J485+ปัตตานี!J485+พังงา!J485+พัทลุง!J485+ภูเก็ต!J485+ยะลา!J485+ระนอง!J485+สงขลา!J485+สตูล!J485+สุราษฎร์ธานี!J485</f>
        <v>3353</v>
      </c>
      <c r="K485" s="167">
        <f t="shared" ca="1" si="84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กระบี่!I486+ชุมพร!I486+ตรัง!I486+นครศรีธรรมราช!I486+นราธิวาส!I486+ปัตตานี!I486+พังงา!I486+พัทลุง!I486+ภูเก็ต!I486+ยะลา!I486+ระนอง!I486+สงขลา!I486+สตูล!I486+สุราษฎร์ธานี!I486</f>
        <v>0</v>
      </c>
      <c r="J486" s="195">
        <f ca="1">กระบี่!J486+ชุมพร!J486+ตรัง!J486+นครศรีธรรมราช!J486+นราธิวาส!J486+ปัตตานี!J486+พังงา!J486+พัทลุง!J486+ภูเก็ต!J486+ยะลา!J486+ระนอง!J486+สงขลา!J486+สตูล!J486+สุราษฎร์ธานี!J486</f>
        <v>449</v>
      </c>
      <c r="K486" s="167">
        <f t="shared" ca="1" si="84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กระบี่!I487+ชุมพร!I487+ตรัง!I487+นครศรีธรรมราช!I487+นราธิวาส!I487+ปัตตานี!I487+พังงา!I487+พัทลุง!I487+ภูเก็ต!I487+ยะลา!I487+ระนอง!I487+สงขลา!I487+สตูล!I487+สุราษฎร์ธานี!I487</f>
        <v>0</v>
      </c>
      <c r="J487" s="426">
        <f ca="1">กระบี่!J487+ชุมพร!J487+ตรัง!J487+นครศรีธรรมราช!J487+นราธิวาส!J487+ปัตตานี!J487+พังงา!J487+พัทลุง!J487+ภูเก็ต!J487+ยะลา!J487+ระนอง!J487+สงขลา!J487+สตูล!J487+สุราษฎร์ธานี!J487</f>
        <v>6019.29</v>
      </c>
      <c r="K487" s="167">
        <f t="shared" ca="1" si="84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กระบี่!I488+ชุมพร!I488+ตรัง!I488+นครศรีธรรมราช!I488+นราธิวาส!I488+ปัตตานี!I488+พังงา!I488+พัทลุง!I488+ภูเก็ต!I488+ยะลา!I488+ระนอง!I488+สงขลา!I488+สตูล!I488+สุราษฎร์ธานี!I488</f>
        <v>0</v>
      </c>
      <c r="J488" s="426">
        <f ca="1">กระบี่!J488+ชุมพร!J488+ตรัง!J488+นครศรีธรรมราช!J488+นราธิวาส!J488+ปัตตานี!J488+พังงา!J488+พัทลุง!J488+ภูเก็ต!J488+ยะลา!J488+ระนอง!J488+สงขลา!J488+สตูล!J488+สุราษฎร์ธานี!J488</f>
        <v>657</v>
      </c>
      <c r="K488" s="167">
        <f t="shared" ca="1" si="84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กระบี่!I489+ชุมพร!I489+ตรัง!I489+นครศรีธรรมราช!I489+นราธิวาส!I489+ปัตตานี!I489+พังงา!I489+พัทลุง!I489+ภูเก็ต!I489+ยะลา!I489+ระนอง!I489+สงขลา!I489+สตูล!I489+สุราษฎร์ธานี!I489</f>
        <v>0</v>
      </c>
      <c r="J489" s="195">
        <f ca="1">กระบี่!J489+ชุมพร!J489+ตรัง!J489+นครศรีธรรมราช!J489+นราธิวาส!J489+ปัตตานี!J489+พังงา!J489+พัทลุง!J489+ภูเก็ต!J489+ยะลา!J489+ระนอง!J489+สงขลา!J489+สตูล!J489+สุราษฎร์ธานี!J489</f>
        <v>5958.29</v>
      </c>
      <c r="K489" s="167">
        <f t="shared" ca="1" si="84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กระบี่!I490+ชุมพร!I490+ตรัง!I490+นครศรีธรรมราช!I490+นราธิวาส!I490+ปัตตานี!I490+พังงา!I490+พัทลุง!I490+ภูเก็ต!I490+ยะลา!I490+ระนอง!I490+สงขลา!I490+สตูล!I490+สุราษฎร์ธานี!I490</f>
        <v>0</v>
      </c>
      <c r="J490" s="195">
        <f ca="1">กระบี่!J490+ชุมพร!J490+ตรัง!J490+นครศรีธรรมราช!J490+นราธิวาส!J490+ปัตตานี!J490+พังงา!J490+พัทลุง!J490+ภูเก็ต!J490+ยะลา!J490+ระนอง!J490+สงขลา!J490+สตูล!J490+สุราษฎร์ธานี!J490</f>
        <v>651</v>
      </c>
      <c r="K490" s="167">
        <f t="shared" ca="1" si="84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กระบี่!I491+ชุมพร!I491+ตรัง!I491+นครศรีธรรมราช!I491+นราธิวาส!I491+ปัตตานี!I491+พังงา!I491+พัทลุง!I491+ภูเก็ต!I491+ยะลา!I491+ระนอง!I491+สงขลา!I491+สตูล!I491+สุราษฎร์ธานี!I491</f>
        <v>0</v>
      </c>
      <c r="J491" s="195">
        <f ca="1">กระบี่!J491+ชุมพร!J491+ตรัง!J491+นครศรีธรรมราช!J491+นราธิวาส!J491+ปัตตานี!J491+พังงา!J491+พัทลุง!J491+ภูเก็ต!J491+ยะลา!J491+ระนอง!J491+สงขลา!J491+สตูล!J491+สุราษฎร์ธานี!J491</f>
        <v>61</v>
      </c>
      <c r="K491" s="167">
        <f t="shared" ca="1" si="84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กระบี่!I492+ชุมพร!I492+ตรัง!I492+นครศรีธรรมราช!I492+นราธิวาส!I492+ปัตตานี!I492+พังงา!I492+พัทลุง!I492+ภูเก็ต!I492+ยะลา!I492+ระนอง!I492+สงขลา!I492+สตูล!I492+สุราษฎร์ธานี!I492</f>
        <v>0</v>
      </c>
      <c r="J492" s="195">
        <f ca="1">กระบี่!J492+ชุมพร!J492+ตรัง!J492+นครศรีธรรมราช!J492+นราธิวาส!J492+ปัตตานี!J492+พังงา!J492+พัทลุง!J492+ภูเก็ต!J492+ยะลา!J492+ระนอง!J492+สงขลา!J492+สตูล!J492+สุราษฎร์ธานี!J492</f>
        <v>6</v>
      </c>
      <c r="K492" s="167">
        <f t="shared" ca="1" si="84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กระบี่!I493+ชุมพร!I493+ตรัง!I493+นครศรีธรรมราช!I493+นราธิวาส!I493+ปัตตานี!I493+พังงา!I493+พัทลุง!I493+ภูเก็ต!I493+ยะลา!I493+ระนอง!I493+สงขลา!I493+สตูล!I493+สุราษฎร์ธานี!I493</f>
        <v>0</v>
      </c>
      <c r="J493" s="195">
        <f ca="1">กระบี่!J493+ชุมพร!J493+ตรัง!J493+นครศรีธรรมราช!J493+นราธิวาส!J493+ปัตตานี!J493+พังงา!J493+พัทลุง!J493+ภูเก็ต!J493+ยะลา!J493+ระนอง!J493+สงขลา!J493+สตูล!J493+สุราษฎร์ธานี!J493</f>
        <v>28136</v>
      </c>
      <c r="K493" s="167">
        <f t="shared" ca="1" si="84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กระบี่!I494+ชุมพร!I494+ตรัง!I494+นครศรีธรรมราช!I494+นราธิวาส!I494+ปัตตานี!I494+พังงา!I494+พัทลุง!I494+ภูเก็ต!I494+ยะลา!I494+ระนอง!I494+สงขลา!I494+สตูล!I494+สุราษฎร์ธานี!I494</f>
        <v>0</v>
      </c>
      <c r="J494" s="442">
        <f ca="1">กระบี่!J494+ชุมพร!J494+ตรัง!J494+นครศรีธรรมราช!J494+นราธิวาส!J494+ปัตตานี!J494+พังงา!J494+พัทลุง!J494+ภูเก็ต!J494+ยะลา!J494+ระนอง!J494+สงขลา!J494+สตูล!J494+สุราษฎร์ธานี!J494</f>
        <v>2488</v>
      </c>
      <c r="K494" s="294">
        <f t="shared" ca="1" si="84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กระบี่!I495+ชุมพร!I495+ตรัง!I495+นครศรีธรรมราช!I495+นราธิวาส!I495+ปัตตานี!I495+พังงา!I495+พัทลุง!I495+ภูเก็ต!I495+ยะลา!I495+ระนอง!I495+สงขลา!I495+สตูล!I495+สุราษฎร์ธานี!I495</f>
        <v>0</v>
      </c>
      <c r="J495" s="442">
        <f ca="1">กระบี่!J495+ชุมพร!J495+ตรัง!J495+นครศรีธรรมราช!J495+นราธิวาส!J495+ปัตตานี!J495+พังงา!J495+พัทลุง!J495+ภูเก็ต!J495+ยะลา!J495+ระนอง!J495+สงขลา!J495+สตูล!J495+สุราษฎร์ธานี!J495</f>
        <v>2.11</v>
      </c>
      <c r="K495" s="167">
        <f t="shared" ca="1" si="84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กระบี่!I496+ชุมพร!I496+ตรัง!I496+นครศรีธรรมราช!I496+นราธิวาส!I496+ปัตตานี!I496+พังงา!I496+พัทลุง!I496+ภูเก็ต!I496+ยะลา!I496+ระนอง!I496+สงขลา!I496+สตูล!I496+สุราษฎร์ธานี!I496</f>
        <v>0</v>
      </c>
      <c r="J496" s="442">
        <f ca="1">กระบี่!J496+ชุมพร!J496+ตรัง!J496+นครศรีธรรมราช!J496+นราธิวาส!J496+ปัตตานี!J496+พังงา!J496+พัทลุง!J496+ภูเก็ต!J496+ยะลา!J496+ระนอง!J496+สงขลา!J496+สตูล!J496+สุราษฎร์ธานี!J496</f>
        <v>1</v>
      </c>
      <c r="K496" s="294">
        <f t="shared" ca="1" si="84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กระบี่!I497+ชุมพร!I497+ตรัง!I497+นครศรีธรรมราช!I497+นราธิวาส!I497+ปัตตานี!I497+พังงา!I497+พัทลุง!I497+ภูเก็ต!I497+ยะลา!I497+ระนอง!I497+สงขลา!I497+สตูล!I497+สุราษฎร์ธานี!I497</f>
        <v>9523</v>
      </c>
      <c r="J497" s="449">
        <f ca="1">กระบี่!J497+ชุมพร!J497+ตรัง!J497+นครศรีธรรมราช!J497+นราธิวาส!J497+ปัตตานี!J497+พังงา!J497+พัทลุง!J497+ภูเก็ต!J497+ยะลา!J497+ระนอง!J497+สงขลา!J497+สตูล!J497+สุราษฎร์ธานี!J497</f>
        <v>8897</v>
      </c>
      <c r="K497" s="450">
        <f t="shared" ca="1" si="84"/>
        <v>93.426441247506034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กระบี่!I498+ชุมพร!I498+ตรัง!I498+นครศรีธรรมราช!I498+นราธิวาส!I498+ปัตตานี!I498+พังงา!I498+พัทลุง!I498+ภูเก็ต!I498+ยะลา!I498+ระนอง!I498+สงขลา!I498+สตูล!I498+สุราษฎร์ธานี!I498</f>
        <v>9523</v>
      </c>
      <c r="J498" s="426">
        <f ca="1">กระบี่!J498+ชุมพร!J498+ตรัง!J498+นครศรีธรรมราช!J498+นราธิวาส!J498+ปัตตานี!J498+พังงา!J498+พัทลุง!J498+ภูเก็ต!J498+ยะลา!J498+ระนอง!J498+สงขลา!J498+สตูล!J498+สุราษฎร์ธานี!J498</f>
        <v>8897</v>
      </c>
      <c r="K498" s="208">
        <f t="shared" ca="1" si="84"/>
        <v>93.426441247506034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กระบี่!I499+ชุมพร!I499+ตรัง!I499+นครศรีธรรมราช!I499+นราธิวาส!I499+ปัตตานี!I499+พังงา!I499+พัทลุง!I499+ภูเก็ต!I499+ยะลา!I499+ระนอง!I499+สงขลา!I499+สตูล!I499+สุราษฎร์ธานี!I499</f>
        <v>935</v>
      </c>
      <c r="J499" s="426">
        <f ca="1">กระบี่!J499+ชุมพร!J499+ตรัง!J499+นครศรีธรรมราช!J499+นราธิวาส!J499+ปัตตานี!J499+พังงา!J499+พัทลุง!J499+ภูเก็ต!J499+ยะลา!J499+ระนอง!J499+สงขลา!J499+สตูล!J499+สุราษฎร์ธานี!J499</f>
        <v>841</v>
      </c>
      <c r="K499" s="208">
        <f t="shared" ca="1" si="84"/>
        <v>89.946524064171129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กระบี่!I500+ชุมพร!I500+ตรัง!I500+นครศรีธรรมราช!I500+นราธิวาส!I500+ปัตตานี!I500+พังงา!I500+พัทลุง!I500+ภูเก็ต!I500+ยะลา!I500+ระนอง!I500+สงขลา!I500+สตูล!I500+สุราษฎร์ธานี!I500</f>
        <v>0</v>
      </c>
      <c r="J500" s="166">
        <f ca="1">กระบี่!J500+ชุมพร!J500+ตรัง!J500+นครศรีธรรมราช!J500+นราธิวาส!J500+ปัตตานี!J500+พังงา!J500+พัทลุง!J500+ภูเก็ต!J500+ยะลา!J500+ระนอง!J500+สงขลา!J500+สตูล!J500+สุราษฎร์ธานี!J500</f>
        <v>8590</v>
      </c>
      <c r="K500" s="167">
        <f t="shared" ca="1" si="84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กระบี่!I501+ชุมพร!I501+ตรัง!I501+นครศรีธรรมราช!I501+นราธิวาส!I501+ปัตตานี!I501+พังงา!I501+พัทลุง!I501+ภูเก็ต!I501+ยะลา!I501+ระนอง!I501+สงขลา!I501+สตูล!I501+สุราษฎร์ธานี!I501</f>
        <v>0</v>
      </c>
      <c r="J501" s="166">
        <f ca="1">กระบี่!J501+ชุมพร!J501+ตรัง!J501+นครศรีธรรมราช!J501+นราธิวาส!J501+ปัตตานี!J501+พังงา!J501+พัทลุง!J501+ภูเก็ต!J501+ยะลา!J501+ระนอง!J501+สงขลา!J501+สตูล!J501+สุราษฎร์ธานี!J501</f>
        <v>798</v>
      </c>
      <c r="K501" s="167">
        <f t="shared" ca="1" si="84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กระบี่!I502+ชุมพร!I502+ตรัง!I502+นครศรีธรรมราช!I502+นราธิวาส!I502+ปัตตานี!I502+พังงา!I502+พัทลุง!I502+ภูเก็ต!I502+ยะลา!I502+ระนอง!I502+สงขลา!I502+สตูล!I502+สุราษฎร์ธานี!I502</f>
        <v>0</v>
      </c>
      <c r="J502" s="195">
        <f ca="1">กระบี่!J502+ชุมพร!J502+ตรัง!J502+นครศรีธรรมราช!J502+นราธิวาส!J502+ปัตตานี!J502+พังงา!J502+พัทลุง!J502+ภูเก็ต!J502+ยะลา!J502+ระนอง!J502+สงขลา!J502+สตูล!J502+สุราษฎร์ธานี!J502</f>
        <v>3658</v>
      </c>
      <c r="K502" s="167">
        <f t="shared" ca="1" si="84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กระบี่!I503+ชุมพร!I503+ตรัง!I503+นครศรีธรรมราช!I503+นราธิวาส!I503+ปัตตานี!I503+พังงา!I503+พัทลุง!I503+ภูเก็ต!I503+ยะลา!I503+ระนอง!I503+สงขลา!I503+สตูล!I503+สุราษฎร์ธานี!I503</f>
        <v>0</v>
      </c>
      <c r="J503" s="204">
        <f ca="1">กระบี่!J503+ชุมพร!J503+ตรัง!J503+นครศรีธรรมราช!J503+นราธิวาส!J503+ปัตตานี!J503+พังงา!J503+พัทลุง!J503+ภูเก็ต!J503+ยะลา!J503+ระนอง!J503+สงขลา!J503+สตูล!J503+สุราษฎร์ธานี!J503</f>
        <v>401</v>
      </c>
      <c r="K503" s="167">
        <f t="shared" ca="1" si="84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กระบี่!I504+ชุมพร!I504+ตรัง!I504+นครศรีธรรมราช!I504+นราธิวาส!I504+ปัตตานี!I504+พังงา!I504+พัทลุง!I504+ภูเก็ต!I504+ยะลา!I504+ระนอง!I504+สงขลา!I504+สตูล!I504+สุราษฎร์ธานี!I504</f>
        <v>0</v>
      </c>
      <c r="J504" s="195">
        <f ca="1">กระบี่!J504+ชุมพร!J504+ตรัง!J504+นครศรีธรรมราช!J504+นราธิวาส!J504+ปัตตานี!J504+พังงา!J504+พัทลุง!J504+ภูเก็ต!J504+ยะลา!J504+ระนอง!J504+สงขลา!J504+สตูล!J504+สุราษฎร์ธานี!J504</f>
        <v>4883</v>
      </c>
      <c r="K504" s="167">
        <f t="shared" ca="1" si="84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กระบี่!I505+ชุมพร!I505+ตรัง!I505+นครศรีธรรมราช!I505+นราธิวาส!I505+ปัตตานี!I505+พังงา!I505+พัทลุง!I505+ภูเก็ต!I505+ยะลา!I505+ระนอง!I505+สงขลา!I505+สตูล!I505+สุราษฎร์ธานี!I505</f>
        <v>0</v>
      </c>
      <c r="J505" s="204">
        <f ca="1">กระบี่!J505+ชุมพร!J505+ตรัง!J505+นครศรีธรรมราช!J505+นราธิวาส!J505+ปัตตานี!J505+พังงา!J505+พัทลุง!J505+ภูเก็ต!J505+ยะลา!J505+ระนอง!J505+สงขลา!J505+สตูล!J505+สุราษฎร์ธานี!J505</f>
        <v>391</v>
      </c>
      <c r="K505" s="167">
        <f t="shared" ca="1" si="84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กระบี่!I506+ชุมพร!I506+ตรัง!I506+นครศรีธรรมราช!I506+นราธิวาส!I506+ปัตตานี!I506+พังงา!I506+พัทลุง!I506+ภูเก็ต!I506+ยะลา!I506+ระนอง!I506+สงขลา!I506+สตูล!I506+สุราษฎร์ธานี!I506</f>
        <v>0</v>
      </c>
      <c r="J506" s="195">
        <f ca="1">กระบี่!J506+ชุมพร!J506+ตรัง!J506+นครศรีธรรมราช!J506+นราธิวาส!J506+ปัตตานี!J506+พังงา!J506+พัทลุง!J506+ภูเก็ต!J506+ยะลา!J506+ระนอง!J506+สงขลา!J506+สตูล!J506+สุราษฎร์ธานี!J506</f>
        <v>49</v>
      </c>
      <c r="K506" s="167">
        <f t="shared" ca="1" si="84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กระบี่!I507+ชุมพร!I507+ตรัง!I507+นครศรีธรรมราช!I507+นราธิวาส!I507+ปัตตานี!I507+พังงา!I507+พัทลุง!I507+ภูเก็ต!I507+ยะลา!I507+ระนอง!I507+สงขลา!I507+สตูล!I507+สุราษฎร์ธานี!I507</f>
        <v>0</v>
      </c>
      <c r="J507" s="204">
        <f ca="1">กระบี่!J507+ชุมพร!J507+ตรัง!J507+นครศรีธรรมราช!J507+นราธิวาส!J507+ปัตตานี!J507+พังงา!J507+พัทลุง!J507+ภูเก็ต!J507+ยะลา!J507+ระนอง!J507+สงขลา!J507+สตูล!J507+สุราษฎร์ธานี!J507</f>
        <v>6</v>
      </c>
      <c r="K507" s="167">
        <f t="shared" ca="1" si="84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กระบี่!I508+ชุมพร!I508+ตรัง!I508+นครศรีธรรมราช!I508+นราธิวาส!I508+ปัตตานี!I508+พังงา!I508+พัทลุง!I508+ภูเก็ต!I508+ยะลา!I508+ระนอง!I508+สงขลา!I508+สตูล!I508+สุราษฎร์ธานี!I508</f>
        <v>0</v>
      </c>
      <c r="J508" s="166">
        <f ca="1">กระบี่!J508+ชุมพร!J508+ตรัง!J508+นครศรีธรรมราช!J508+นราธิวาส!J508+ปัตตานี!J508+พังงา!J508+พัทลุง!J508+ภูเก็ต!J508+ยะลา!J508+ระนอง!J508+สงขลา!J508+สตูล!J508+สุราษฎร์ธานี!J508</f>
        <v>307</v>
      </c>
      <c r="K508" s="167">
        <f t="shared" ca="1" si="84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กระบี่!I509+ชุมพร!I509+ตรัง!I509+นครศรีธรรมราช!I509+นราธิวาส!I509+ปัตตานี!I509+พังงา!I509+พัทลุง!I509+ภูเก็ต!I509+ยะลา!I509+ระนอง!I509+สงขลา!I509+สตูล!I509+สุราษฎร์ธานี!I509</f>
        <v>0</v>
      </c>
      <c r="J509" s="166">
        <f ca="1">กระบี่!J509+ชุมพร!J509+ตรัง!J509+นครศรีธรรมราช!J509+นราธิวาส!J509+ปัตตานี!J509+พังงา!J509+พัทลุง!J509+ภูเก็ต!J509+ยะลา!J509+ระนอง!J509+สงขลา!J509+สตูล!J509+สุราษฎร์ธานี!J509</f>
        <v>43</v>
      </c>
      <c r="K509" s="167">
        <f t="shared" ca="1" si="84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กระบี่!I510+ชุมพร!I510+ตรัง!I510+นครศรีธรรมราช!I510+นราธิวาส!I510+ปัตตานี!I510+พังงา!I510+พัทลุง!I510+ภูเก็ต!I510+ยะลา!I510+ระนอง!I510+สงขลา!I510+สตูล!I510+สุราษฎร์ธานี!I510</f>
        <v>0</v>
      </c>
      <c r="J510" s="204">
        <f ca="1">กระบี่!J510+ชุมพร!J510+ตรัง!J510+นครศรีธรรมราช!J510+นราธิวาส!J510+ปัตตานี!J510+พังงา!J510+พัทลุง!J510+ภูเก็ต!J510+ยะลา!J510+ระนอง!J510+สงขลา!J510+สตูล!J510+สุราษฎร์ธานี!J510</f>
        <v>289</v>
      </c>
      <c r="K510" s="167">
        <f t="shared" ca="1" si="84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กระบี่!I511+ชุมพร!I511+ตรัง!I511+นครศรีธรรมราช!I511+นราธิวาส!I511+ปัตตานี!I511+พังงา!I511+พัทลุง!I511+ภูเก็ต!I511+ยะลา!I511+ระนอง!I511+สงขลา!I511+สตูล!I511+สุราษฎร์ธานี!I511</f>
        <v>0</v>
      </c>
      <c r="J511" s="204">
        <f ca="1">กระบี่!J511+ชุมพร!J511+ตรัง!J511+นครศรีธรรมราช!J511+นราธิวาส!J511+ปัตตานี!J511+พังงา!J511+พัทลุง!J511+ภูเก็ต!J511+ยะลา!J511+ระนอง!J511+สงขลา!J511+สตูล!J511+สุราษฎร์ธานี!J511</f>
        <v>40</v>
      </c>
      <c r="K511" s="167">
        <f t="shared" ca="1" si="84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กระบี่!I512+ชุมพร!I512+ตรัง!I512+นครศรีธรรมราช!I512+นราธิวาส!I512+ปัตตานี!I512+พังงา!I512+พัทลุง!I512+ภูเก็ต!I512+ยะลา!I512+ระนอง!I512+สงขลา!I512+สตูล!I512+สุราษฎร์ธานี!I512</f>
        <v>0</v>
      </c>
      <c r="J512" s="204">
        <f ca="1">กระบี่!J512+ชุมพร!J512+ตรัง!J512+นครศรีธรรมราช!J512+นราธิวาส!J512+ปัตตานี!J512+พังงา!J512+พัทลุง!J512+ภูเก็ต!J512+ยะลา!J512+ระนอง!J512+สงขลา!J512+สตูล!J512+สุราษฎร์ธานี!J512</f>
        <v>18</v>
      </c>
      <c r="K512" s="167">
        <f t="shared" ca="1" si="84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กระบี่!I513+ชุมพร!I513+ตรัง!I513+นครศรีธรรมราช!I513+นราธิวาส!I513+ปัตตานี!I513+พังงา!I513+พัทลุง!I513+ภูเก็ต!I513+ยะลา!I513+ระนอง!I513+สงขลา!I513+สตูล!I513+สุราษฎร์ธานี!I513</f>
        <v>0</v>
      </c>
      <c r="J513" s="204">
        <f ca="1">กระบี่!J513+ชุมพร!J513+ตรัง!J513+นครศรีธรรมราช!J513+นราธิวาส!J513+ปัตตานี!J513+พังงา!J513+พัทลุง!J513+ภูเก็ต!J513+ยะลา!J513+ระนอง!J513+สงขลา!J513+สตูล!J513+สุราษฎร์ธานี!J513</f>
        <v>3</v>
      </c>
      <c r="K513" s="167">
        <f t="shared" ca="1" si="84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กระบี่!I514+ชุมพร!I514+ตรัง!I514+นครศรีธรรมราช!I514+นราธิวาส!I514+ปัตตานี!I514+พังงา!I514+พัทลุง!I514+ภูเก็ต!I514+ยะลา!I514+ระนอง!I514+สงขลา!I514+สตูล!I514+สุราษฎร์ธานี!I514</f>
        <v>0</v>
      </c>
      <c r="J514" s="204">
        <f ca="1">กระบี่!J514+ชุมพร!J514+ตรัง!J514+นครศรีธรรมราช!J514+นราธิวาส!J514+ปัตตานี!J514+พังงา!J514+พัทลุง!J514+ภูเก็ต!J514+ยะลา!J514+ระนอง!J514+สงขลา!J514+สตูล!J514+สุราษฎร์ธานี!J514</f>
        <v>0</v>
      </c>
      <c r="K514" s="167">
        <f t="shared" ca="1" si="84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กระบี่!I515+ชุมพร!I515+ตรัง!I515+นครศรีธรรมราช!I515+นราธิวาส!I515+ปัตตานี!I515+พังงา!I515+พัทลุง!I515+ภูเก็ต!I515+ยะลา!I515+ระนอง!I515+สงขลา!I515+สตูล!I515+สุราษฎร์ธานี!I515</f>
        <v>0</v>
      </c>
      <c r="J515" s="204">
        <f ca="1">กระบี่!J515+ชุมพร!J515+ตรัง!J515+นครศรีธรรมราช!J515+นราธิวาส!J515+ปัตตานี!J515+พังงา!J515+พัทลุง!J515+ภูเก็ต!J515+ยะลา!J515+ระนอง!J515+สงขลา!J515+สตูล!J515+สุราษฎร์ธานี!J515</f>
        <v>0</v>
      </c>
      <c r="K515" s="167">
        <f t="shared" ca="1" si="84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กระบี่!I516+ชุมพร!I516+ตรัง!I516+นครศรีธรรมราช!I516+นราธิวาส!I516+ปัตตานี!I516+พังงา!I516+พัทลุง!I516+ภูเก็ต!I516+ยะลา!I516+ระนอง!I516+สงขลา!I516+สตูล!I516+สุราษฎร์ธานี!I516</f>
        <v>0</v>
      </c>
      <c r="J516" s="273">
        <f ca="1">กระบี่!J516+ชุมพร!J516+ตรัง!J516+นครศรีธรรมราช!J516+นราธิวาส!J516+ปัตตานี!J516+พังงา!J516+พัทลุง!J516+ภูเก็ต!J516+ยะลา!J516+ระนอง!J516+สงขลา!J516+สตูล!J516+สุราษฎร์ธานี!J516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กระบี่!I517+ชุมพร!I517+ตรัง!I517+นครศรีธรรมราช!I517+นราธิวาส!I517+ปัตตานี!I517+พังงา!I517+พัทลุง!I517+ภูเก็ต!I517+ยะลา!I517+ระนอง!I517+สงขลา!I517+สตูล!I517+สุราษฎร์ธานี!I517</f>
        <v>0</v>
      </c>
      <c r="J517" s="290">
        <f ca="1">กระบี่!J517+ชุมพร!J517+ตรัง!J517+นครศรีธรรมราช!J517+นราธิวาส!J517+ปัตตานี!J517+พังงา!J517+พัทลุง!J517+ภูเก็ต!J517+ยะลา!J517+ระนอง!J517+สงขลา!J517+สตูล!J517+สุราษฎร์ธานี!J517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กระบี่!I518+ชุมพร!I518+ตรัง!I518+นครศรีธรรมราช!I518+นราธิวาส!I518+ปัตตานี!I518+พังงา!I518+พัทลุง!I518+ภูเก็ต!I518+ยะลา!I518+ระนอง!I518+สงขลา!I518+สตูล!I518+สุราษฎร์ธานี!I518</f>
        <v>0</v>
      </c>
      <c r="J518" s="290">
        <f ca="1">กระบี่!J518+ชุมพร!J518+ตรัง!J518+นครศรีธรรมราช!J518+นราธิวาส!J518+ปัตตานี!J518+พังงา!J518+พัทลุง!J518+ภูเก็ต!J518+ยะลา!J518+ระนอง!J518+สงขลา!J518+สตูล!J518+สุราษฎร์ธานี!J518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กระบี่!I519+ชุมพร!I519+ตรัง!I519+นครศรีธรรมราช!I519+นราธิวาส!I519+ปัตตานี!I519+พังงา!I519+พัทลุง!I519+ภูเก็ต!I519+ยะลา!I519+ระนอง!I519+สงขลา!I519+สตูล!I519+สุราษฎร์ธานี!I519</f>
        <v>0</v>
      </c>
      <c r="J519" s="194">
        <f ca="1">กระบี่!J519+ชุมพร!J519+ตรัง!J519+นครศรีธรรมราช!J519+นราธิวาส!J519+ปัตตานี!J519+พังงา!J519+พัทลุง!J519+ภูเก็ต!J519+ยะลา!J519+ระนอง!J519+สงขลา!J519+สตูล!J519+สุราษฎร์ธานี!J519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กระบี่!I520+ชุมพร!I520+ตรัง!I520+นครศรีธรรมราช!I520+นราธิวาส!I520+ปัตตานี!I520+พังงา!I520+พัทลุง!I520+ภูเก็ต!I520+ยะลา!I520+ระนอง!I520+สงขลา!I520+สตูล!I520+สุราษฎร์ธานี!I520</f>
        <v>0</v>
      </c>
      <c r="J520" s="194">
        <f ca="1">กระบี่!J520+ชุมพร!J520+ตรัง!J520+นครศรีธรรมราช!J520+นราธิวาส!J520+ปัตตานี!J520+พังงา!J520+พัทลุง!J520+ภูเก็ต!J520+ยะลา!J520+ระนอง!J520+สงขลา!J520+สตูล!J520+สุราษฎร์ธานี!J520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กระบี่!I521+ชุมพร!I521+ตรัง!I521+นครศรีธรรมราช!I521+นราธิวาส!I521+ปัตตานี!I521+พังงา!I521+พัทลุง!I521+ภูเก็ต!I521+ยะลา!I521+ระนอง!I521+สงขลา!I521+สตูล!I521+สุราษฎร์ธานี!I521</f>
        <v>0</v>
      </c>
      <c r="J521" s="194">
        <f ca="1">กระบี่!J521+ชุมพร!J521+ตรัง!J521+นครศรีธรรมราช!J521+นราธิวาส!J521+ปัตตานี!J521+พังงา!J521+พัทลุง!J521+ภูเก็ต!J521+ยะลา!J521+ระนอง!J521+สงขลา!J521+สตูล!J521+สุราษฎร์ธานี!J521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กระบี่!I522+ชุมพร!I522+ตรัง!I522+นครศรีธรรมราช!I522+นราธิวาส!I522+ปัตตานี!I522+พังงา!I522+พัทลุง!I522+ภูเก็ต!I522+ยะลา!I522+ระนอง!I522+สงขลา!I522+สตูล!I522+สุราษฎร์ธานี!I522</f>
        <v>0</v>
      </c>
      <c r="J522" s="194">
        <f ca="1">กระบี่!J522+ชุมพร!J522+ตรัง!J522+นครศรีธรรมราช!J522+นราธิวาส!J522+ปัตตานี!J522+พังงา!J522+พัทลุง!J522+ภูเก็ต!J522+ยะลา!J522+ระนอง!J522+สงขลา!J522+สตูล!J522+สุราษฎร์ธานี!J522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กระบี่!I523+ชุมพร!I523+ตรัง!I523+นครศรีธรรมราช!I523+นราธิวาส!I523+ปัตตานี!I523+พังงา!I523+พัทลุง!I523+ภูเก็ต!I523+ยะลา!I523+ระนอง!I523+สงขลา!I523+สตูล!I523+สุราษฎร์ธานี!I523</f>
        <v>0</v>
      </c>
      <c r="J523" s="194">
        <f ca="1">กระบี่!J523+ชุมพร!J523+ตรัง!J523+นครศรีธรรมราช!J523+นราธิวาส!J523+ปัตตานี!J523+พังงา!J523+พัทลุง!J523+ภูเก็ต!J523+ยะลา!J523+ระนอง!J523+สงขลา!J523+สตูล!J523+สุราษฎร์ธานี!J523</f>
        <v>552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กระบี่!I524+ชุมพร!I524+ตรัง!I524+นครศรีธรรมราช!I524+นราธิวาส!I524+ปัตตานี!I524+พังงา!I524+พัทลุง!I524+ภูเก็ต!I524+ยะลา!I524+ระนอง!I524+สงขลา!I524+สตูล!I524+สุราษฎร์ธานี!I524</f>
        <v>0</v>
      </c>
      <c r="J524" s="194">
        <f ca="1">กระบี่!J524+ชุมพร!J524+ตรัง!J524+นครศรีธรรมราช!J524+นราธิวาส!J524+ปัตตานี!J524+พังงา!J524+พัทลุง!J524+ภูเก็ต!J524+ยะลา!J524+ระนอง!J524+สงขลา!J524+สตูล!J524+สุราษฎร์ธานี!J524</f>
        <v>60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กระบี่!I525+ชุมพร!I525+ตรัง!I525+นครศรีธรรมราช!I525+นราธิวาส!I525+ปัตตานี!I525+พังงา!I525+พัทลุง!I525+ภูเก็ต!I525+ยะลา!I525+ระนอง!I525+สงขลา!I525+สตูล!I525+สุราษฎร์ธานี!I525</f>
        <v>552</v>
      </c>
      <c r="J525" s="290">
        <f ca="1">กระบี่!J525+ชุมพร!J525+ตรัง!J525+นครศรีธรรมราช!J525+นราธิวาส!J525+ปัตตานี!J525+พังงา!J525+พัทลุง!J525+ภูเก็ต!J525+ยะลา!J525+ระนอง!J525+สงขลา!J525+สตูล!J525+สุราษฎร์ธานี!J525</f>
        <v>307.72000000000003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กระบี่!I526+ชุมพร!I526+ตรัง!I526+นครศรีธรรมราช!I526+นราธิวาส!I526+ปัตตานี!I526+พังงา!I526+พัทลุง!I526+ภูเก็ต!I526+ยะลา!I526+ระนอง!I526+สงขลา!I526+สตูล!I526+สุราษฎร์ธานี!I526</f>
        <v>60</v>
      </c>
      <c r="J526" s="290">
        <f ca="1">กระบี่!J526+ชุมพร!J526+ตรัง!J526+นครศรีธรรมราช!J526+นราธิวาส!J526+ปัตตานี!J526+พังงา!J526+พัทลุง!J526+ภูเก็ต!J526+ยะลา!J526+ระนอง!J526+สงขลา!J526+สตูล!J526+สุราษฎร์ธานี!J526</f>
        <v>36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กระบี่!I527+ชุมพร!I527+ตรัง!I527+นครศรีธรรมราช!I527+นราธิวาส!I527+ปัตตานี!I527+พังงา!I527+พัทลุง!I527+ภูเก็ต!I527+ยะลา!I527+ระนอง!I527+สงขลา!I527+สตูล!I527+สุราษฎร์ธานี!I527</f>
        <v>0</v>
      </c>
      <c r="J527" s="204">
        <f ca="1">กระบี่!J527+ชุมพร!J527+ตรัง!J527+นครศรีธรรมราช!J527+นราธิวาส!J527+ปัตตานี!J527+พังงา!J527+พัทลุง!J527+ภูเก็ต!J527+ยะลา!J527+ระนอง!J527+สงขลา!J527+สตูล!J527+สุราษฎร์ธานี!J527</f>
        <v>16.72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กระบี่!I528+ชุมพร!I528+ตรัง!I528+นครศรีธรรมราช!I528+นราธิวาส!I528+ปัตตานี!I528+พังงา!I528+พัทลุง!I528+ภูเก็ต!I528+ยะลา!I528+ระนอง!I528+สงขลา!I528+สตูล!I528+สุราษฎร์ธานี!I528</f>
        <v>0</v>
      </c>
      <c r="J528" s="204">
        <f ca="1">กระบี่!J528+ชุมพร!J528+ตรัง!J528+นครศรีธรรมราช!J528+นราธิวาส!J528+ปัตตานี!J528+พังงา!J528+พัทลุง!J528+ภูเก็ต!J528+ยะลา!J528+ระนอง!J528+สงขลา!J528+สตูล!J528+สุราษฎร์ธานี!J528</f>
        <v>4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กระบี่!I529+ชุมพร!I529+ตรัง!I529+นครศรีธรรมราช!I529+นราธิวาส!I529+ปัตตานี!I529+พังงา!I529+พัทลุง!I529+ภูเก็ต!I529+ยะลา!I529+ระนอง!I529+สงขลา!I529+สตูล!I529+สุราษฎร์ธานี!I529</f>
        <v>0</v>
      </c>
      <c r="J529" s="204">
        <f ca="1">กระบี่!J529+ชุมพร!J529+ตรัง!J529+นครศรีธรรมราช!J529+นราธิวาส!J529+ปัตตานี!J529+พังงา!J529+พัทลุง!J529+ภูเก็ต!J529+ยะลา!J529+ระนอง!J529+สงขลา!J529+สตูล!J529+สุราษฎร์ธานี!J529</f>
        <v>52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กระบี่!I530+ชุมพร!I530+ตรัง!I530+นครศรีธรรมราช!I530+นราธิวาส!I530+ปัตตานี!I530+พังงา!I530+พัทลุง!I530+ภูเก็ต!I530+ยะลา!I530+ระนอง!I530+สงขลา!I530+สตูล!I530+สุราษฎร์ธานี!I530</f>
        <v>0</v>
      </c>
      <c r="J530" s="204">
        <f ca="1">กระบี่!J530+ชุมพร!J530+ตรัง!J530+นครศรีธรรมราช!J530+นราธิวาส!J530+ปัตตานี!J530+พังงา!J530+พัทลุง!J530+ภูเก็ต!J530+ยะลา!J530+ระนอง!J530+สงขลา!J530+สตูล!J530+สุราษฎร์ธานี!J530</f>
        <v>13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กระบี่!I531+ชุมพร!I531+ตรัง!I531+นครศรีธรรมราช!I531+นราธิวาส!I531+ปัตตานี!I531+พังงา!I531+พัทลุง!I531+ภูเก็ต!I531+ยะลา!I531+ระนอง!I531+สงขลา!I531+สตูล!I531+สุราษฎร์ธานี!I531</f>
        <v>0</v>
      </c>
      <c r="J531" s="204">
        <f ca="1">กระบี่!J531+ชุมพร!J531+ตรัง!J531+นครศรีธรรมราช!J531+นราธิวาส!J531+ปัตตานี!J531+พังงา!J531+พัทลุง!J531+ภูเก็ต!J531+ยะลา!J531+ระนอง!J531+สงขลา!J531+สตูล!J531+สุราษฎร์ธานี!J531</f>
        <v>239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กระบี่!I532+ชุมพร!I532+ตรัง!I532+นครศรีธรรมราช!I532+นราธิวาส!I532+ปัตตานี!I532+พังงา!I532+พัทลุง!I532+ภูเก็ต!I532+ยะลา!I532+ระนอง!I532+สงขลา!I532+สตูล!I532+สุราษฎร์ธานี!I532</f>
        <v>0</v>
      </c>
      <c r="J532" s="472">
        <f ca="1">กระบี่!J532+ชุมพร!J532+ตรัง!J532+นครศรีธรรมราช!J532+นราธิวาส!J532+ปัตตานี!J532+พังงา!J532+พัทลุง!J532+ภูเก็ต!J532+ยะลา!J532+ระนอง!J532+สงขลา!J532+สตูล!J532+สุราษฎร์ธานี!J532</f>
        <v>19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กระบี่!I533+ชุมพร!I533+ตรัง!I533+นครศรีธรรมราช!I533+นราธิวาส!I533+ปัตตานี!I533+พังงา!I533+พัทลุง!I533+ภูเก็ต!I533+ยะลา!I533+ระนอง!I533+สงขลา!I533+สตูล!I533+สุราษฎร์ธานี!I533</f>
        <v>293</v>
      </c>
      <c r="J533" s="416">
        <f ca="1">กระบี่!J533+ชุมพร!J533+ตรัง!J533+นครศรีธรรมราช!J533+นราธิวาส!J533+ปัตตานี!J533+พังงา!J533+พัทลุง!J533+ภูเก็ต!J533+ยะลา!J533+ระนอง!J533+สงขลา!J533+สตูล!J533+สุราษฎร์ธานี!J533</f>
        <v>293</v>
      </c>
      <c r="K533" s="417">
        <f ca="1">IF(I533&gt;0,J533*100/I533,0)</f>
        <v>100</v>
      </c>
      <c r="L533" s="418">
        <f ca="1">กระบี่!L533+ชุมพร!L533+ตรัง!L533+นครศรีธรรมราช!L533+นราธิวาส!L533+ปัตตานี!L533+พังงา!L533+พัทลุง!L533+ภูเก็ต!L533+ยะลา!L533+ระนอง!L533+สงขลา!L533+สตูล!L533+สุราษฎร์ธานี!L533</f>
        <v>468020</v>
      </c>
      <c r="M533" s="418"/>
      <c r="N533" s="418">
        <f ca="1">กระบี่!N533+ชุมพร!N533+ตรัง!N533+นครศรีธรรมราช!N533+นราธิวาส!N533+ปัตตานี!N533+พังงา!N533+พัทลุง!N533+ภูเก็ต!N533+ยะลา!N533+ระนอง!N533+สงขลา!N533+สตูล!N533+สุราษฎร์ธานี!N533</f>
        <v>409764.68</v>
      </c>
      <c r="O533" s="418">
        <f t="shared" ref="O533:O537" ca="1" si="85">+IF(L533&gt;0,N533*100/L533,0)</f>
        <v>87.55281398230845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กระบี่!L534+ชุมพร!L534+ตรัง!L534+นครศรีธรรมราช!L534+นราธิวาส!L534+ปัตตานี!L534+พังงา!L534+พัทลุง!L534+ภูเก็ต!L534+ยะลา!L534+ระนอง!L534+สงขลา!L534+สตูล!L534+สุราษฎร์ธานี!L534</f>
        <v>0</v>
      </c>
      <c r="M534" s="168"/>
      <c r="N534" s="175">
        <f ca="1">กระบี่!N534+ชุมพร!N534+ตรัง!N534+นครศรีธรรมราช!N534+นราธิวาส!N534+ปัตตานี!N534+พังงา!N534+พัทลุง!N534+ภูเก็ต!N534+ยะลา!N534+ระนอง!N534+สงขลา!N534+สตูล!N534+สุราษฎร์ธานี!N534</f>
        <v>0</v>
      </c>
      <c r="O534" s="175">
        <f t="shared" ca="1" si="85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กระบี่!L535+ชุมพร!L535+ตรัง!L535+นครศรีธรรมราช!L535+นราธิวาส!L535+ปัตตานี!L535+พังงา!L535+พัทลุง!L535+ภูเก็ต!L535+ยะลา!L535+ระนอง!L535+สงขลา!L535+สตูล!L535+สุราษฎร์ธานี!L535</f>
        <v>468020</v>
      </c>
      <c r="M535" s="169"/>
      <c r="N535" s="175">
        <f ca="1">กระบี่!N535+ชุมพร!N535+ตรัง!N535+นครศรีธรรมราช!N535+นราธิวาส!N535+ปัตตานี!N535+พังงา!N535+พัทลุง!N535+ภูเก็ต!N535+ยะลา!N535+ระนอง!N535+สงขลา!N535+สตูล!N535+สุราษฎร์ธานี!N535</f>
        <v>409764.68</v>
      </c>
      <c r="O535" s="175">
        <f t="shared" ca="1" si="85"/>
        <v>87.55281398230845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กระบี่!L536+ชุมพร!L536+ตรัง!L536+นครศรีธรรมราช!L536+นราธิวาส!L536+ปัตตานี!L536+พังงา!L536+พัทลุง!L536+ภูเก็ต!L536+ยะลา!L536+ระนอง!L536+สงขลา!L536+สตูล!L536+สุราษฎร์ธานี!L536</f>
        <v>0</v>
      </c>
      <c r="M536" s="175"/>
      <c r="N536" s="175">
        <f ca="1">กระบี่!N536+ชุมพร!N536+ตรัง!N536+นครศรีธรรมราช!N536+นราธิวาส!N536+ปัตตานี!N536+พังงา!N536+พัทลุง!N536+ภูเก็ต!N536+ยะลา!N536+ระนอง!N536+สงขลา!N536+สตูล!N536+สุราษฎร์ธานี!N536</f>
        <v>0</v>
      </c>
      <c r="O536" s="175">
        <f t="shared" ca="1" si="85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กระบี่!L537+ชุมพร!L537+ตรัง!L537+นครศรีธรรมราช!L537+นราธิวาส!L537+ปัตตานี!L537+พังงา!L537+พัทลุง!L537+ภูเก็ต!L537+ยะลา!L537+ระนอง!L537+สงขลา!L537+สตูล!L537+สุราษฎร์ธานี!L537</f>
        <v>468020</v>
      </c>
      <c r="M537" s="175"/>
      <c r="N537" s="175">
        <f ca="1">กระบี่!N537+ชุมพร!N537+ตรัง!N537+นครศรีธรรมราช!N537+นราธิวาส!N537+ปัตตานี!N537+พังงา!N537+พัทลุง!N537+ภูเก็ต!N537+ยะลา!N537+ระนอง!N537+สงขลา!N537+สตูล!N537+สุราษฎร์ธานี!N537</f>
        <v>409764.68</v>
      </c>
      <c r="O537" s="175">
        <f t="shared" ca="1" si="85"/>
        <v>87.55281398230845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กระบี่!N538+ชุมพร!N538+ตรัง!N538+นครศรีธรรมราช!N538+นราธิวาส!N538+ปัตตานี!N538+พังงา!N538+พัทลุง!N538+ภูเก็ต!N538+ยะลา!N538+ระนอง!N538+สงขลา!N538+สตูล!N538+สุราษฎร์ธานี!N538</f>
        <v>253153.47999999998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กระบี่!N539+ชุมพร!N539+ตรัง!N539+นครศรีธรรมราช!N539+นราธิวาส!N539+ปัตตานี!N539+พังงา!N539+พัทลุง!N539+ภูเก็ต!N539+ยะลา!N539+ระนอง!N539+สงขลา!N539+สตูล!N539+สุราษฎร์ธานี!N539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กระบี่!N540+ชุมพร!N540+ตรัง!N540+นครศรีธรรมราช!N540+นราธิวาส!N540+ปัตตานี!N540+พังงา!N540+พัทลุง!N540+ภูเก็ต!N540+ยะลา!N540+ระนอง!N540+สงขลา!N540+สตูล!N540+สุราษฎร์ธานี!N540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กระบี่!N541+ชุมพร!N541+ตรัง!N541+นครศรีธรรมราช!N541+นราธิวาส!N541+ปัตตานี!N541+พังงา!N541+พัทลุง!N541+ภูเก็ต!N541+ยะลา!N541+ระนอง!N541+สงขลา!N541+สตูล!N541+สุราษฎร์ธานี!N541</f>
        <v>156611.20000000001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กระบี่!J543+ชุมพร!J543+ตรัง!J543+นครศรีธรรมราช!J543+นราธิวาส!J543+ปัตตานี!J543+พังงา!J543+พัทลุง!J543+ภูเก็ต!J543+ยะลา!J543+ระนอง!J543+สงขลา!J543+สตูล!J543+สุราษฎร์ธานี!J543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กระบี่!J544+ชุมพร!J544+ตรัง!J544+นครศรีธรรมราช!J544+นราธิวาส!J544+ปัตตานี!J544+พังงา!J544+พัทลุง!J544+ภูเก็ต!J544+ยะลา!J544+ระนอง!J544+สงขลา!J544+สตูล!J544+สุราษฎร์ธานี!J544</f>
        <v>13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กระบี่!J545+ชุมพร!J545+ตรัง!J545+นครศรีธรรมราช!J545+นราธิวาส!J545+ปัตตานี!J545+พังงา!J545+พัทลุง!J545+ภูเก็ต!J545+ยะลา!J545+ระนอง!J545+สงขลา!J545+สตูล!J545+สุราษฎร์ธานี!J545</f>
        <v>14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กระบี่!J546+ชุมพร!J546+ตรัง!J546+นครศรีธรรมราช!J546+นราธิวาส!J546+ปัตตานี!J546+พังงา!J546+พัทลุง!J546+ภูเก็ต!J546+ยะลา!J546+ระนอง!J546+สงขลา!J546+สตูล!J546+สุราษฎร์ธานี!J546</f>
        <v>14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กระบี่!I547+ชุมพร!I547+ตรัง!I547+นครศรีธรรมราช!I547+นราธิวาส!I547+ปัตตานี!I547+พังงา!I547+พัทลุง!I547+ภูเก็ต!I547+ยะลา!I547+ระนอง!I547+สงขลา!I547+สตูล!I547+สุราษฎร์ธานี!I547</f>
        <v>293</v>
      </c>
      <c r="J547" s="195">
        <f ca="1">กระบี่!J547+ชุมพร!J547+ตรัง!J547+นครศรีธรรมราช!J547+นราธิวาส!J547+ปัตตานี!J547+พังงา!J547+พัทลุง!J547+ภูเก็ต!J547+ยะลา!J547+ระนอง!J547+สงขลา!J547+สตูล!J547+สุราษฎร์ธานี!J547</f>
        <v>293</v>
      </c>
      <c r="K547" s="167">
        <f t="shared" ref="K547:K548" ca="1" si="86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กระบี่!J548+ชุมพร!J548+ตรัง!J548+นครศรีธรรมราช!J548+นราธิวาส!J548+ปัตตานี!J548+พังงา!J548+พัทลุง!J548+ภูเก็ต!J548+ยะลา!J548+ระนอง!J548+สงขลา!J548+สตูล!J548+สุราษฎร์ธานี!J548</f>
        <v>0</v>
      </c>
      <c r="K548" s="167">
        <f t="shared" ca="1" si="86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กระบี่!J549+ชุมพร!J549+ตรัง!J549+นครศรีธรรมราช!J549+นราธิวาส!J549+ปัตตานี!J549+พังงา!J549+พัทลุง!J549+ภูเก็ต!J549+ยะลา!J549+ระนอง!J549+สงขลา!J549+สตูล!J549+สุราษฎร์ธานี!J549</f>
        <v>2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กระบี่!J550+ชุมพร!J550+ตรัง!J550+นครศรีธรรมราช!J550+นราธิวาส!J550+ปัตตานี!J550+พังงา!J550+พัทลุง!J550+ภูเก็ต!J550+ยะลา!J550+ระนอง!J550+สงขลา!J550+สตูล!J550+สุราษฎร์ธานี!J550</f>
        <v>2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กระบี่!I551+ชุมพร!I551+ตรัง!I551+นครศรีธรรมราช!I551+นราธิวาส!I551+ปัตตานี!I551+พังงา!I551+พัทลุง!I551+ภูเก็ต!I551+ยะลา!I551+ระนอง!I551+สงขลา!I551+สตูล!I551+สุราษฎร์ธานี!I551</f>
        <v>0</v>
      </c>
      <c r="J551" s="416">
        <f ca="1">กระบี่!J551+ชุมพร!J551+ตรัง!J551+นครศรีธรรมราช!J551+นราธิวาส!J551+ปัตตานี!J551+พังงา!J551+พัทลุง!J551+ภูเก็ต!J551+ยะลา!J551+ระนอง!J551+สงขลา!J551+สตูล!J551+สุราษฎร์ธานี!J551</f>
        <v>0</v>
      </c>
      <c r="K551" s="417">
        <f ca="1">IF(I551&gt;0,J551*100/I551,0)</f>
        <v>0</v>
      </c>
      <c r="L551" s="418">
        <f ca="1">กระบี่!L551+ชุมพร!L551+ตรัง!L551+นครศรีธรรมราช!L551+นราธิวาส!L551+ปัตตานี!L551+พังงา!L551+พัทลุง!L551+ภูเก็ต!L551+ยะลา!L551+ระนอง!L551+สงขลา!L551+สตูล!L551+สุราษฎร์ธานี!L551</f>
        <v>0</v>
      </c>
      <c r="M551" s="418"/>
      <c r="N551" s="418">
        <f ca="1">กระบี่!N551+ชุมพร!N551+ตรัง!N551+นครศรีธรรมราช!N551+นราธิวาส!N551+ปัตตานี!N551+พังงา!N551+พัทลุง!N551+ภูเก็ต!N551+ยะลา!N551+ระนอง!N551+สงขลา!N551+สตูล!N551+สุราษฎร์ธานี!N551</f>
        <v>0</v>
      </c>
      <c r="O551" s="418">
        <f t="shared" ref="O551:O555" ca="1" si="87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กระบี่!L552+ชุมพร!L552+ตรัง!L552+นครศรีธรรมราช!L552+นราธิวาส!L552+ปัตตานี!L552+พังงา!L552+พัทลุง!L552+ภูเก็ต!L552+ยะลา!L552+ระนอง!L552+สงขลา!L552+สตูล!L552+สุราษฎร์ธานี!L552</f>
        <v>0</v>
      </c>
      <c r="M552" s="168"/>
      <c r="N552" s="175">
        <f ca="1">กระบี่!N552+ชุมพร!N552+ตรัง!N552+นครศรีธรรมราช!N552+นราธิวาส!N552+ปัตตานี!N552+พังงา!N552+พัทลุง!N552+ภูเก็ต!N552+ยะลา!N552+ระนอง!N552+สงขลา!N552+สตูล!N552+สุราษฎร์ธานี!N552</f>
        <v>0</v>
      </c>
      <c r="O552" s="175">
        <f t="shared" ca="1" si="87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กระบี่!L553+ชุมพร!L553+ตรัง!L553+นครศรีธรรมราช!L553+นราธิวาส!L553+ปัตตานี!L553+พังงา!L553+พัทลุง!L553+ภูเก็ต!L553+ยะลา!L553+ระนอง!L553+สงขลา!L553+สตูล!L553+สุราษฎร์ธานี!L553</f>
        <v>0</v>
      </c>
      <c r="M553" s="169"/>
      <c r="N553" s="175">
        <f ca="1">กระบี่!N553+ชุมพร!N553+ตรัง!N553+นครศรีธรรมราช!N553+นราธิวาส!N553+ปัตตานี!N553+พังงา!N553+พัทลุง!N553+ภูเก็ต!N553+ยะลา!N553+ระนอง!N553+สงขลา!N553+สตูล!N553+สุราษฎร์ธานี!N553</f>
        <v>0</v>
      </c>
      <c r="O553" s="175">
        <f t="shared" ca="1" si="87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กระบี่!L554+ชุมพร!L554+ตรัง!L554+นครศรีธรรมราช!L554+นราธิวาส!L554+ปัตตานี!L554+พังงา!L554+พัทลุง!L554+ภูเก็ต!L554+ยะลา!L554+ระนอง!L554+สงขลา!L554+สตูล!L554+สุราษฎร์ธานี!L554</f>
        <v>0</v>
      </c>
      <c r="M554" s="175"/>
      <c r="N554" s="175">
        <f ca="1">กระบี่!N554+ชุมพร!N554+ตรัง!N554+นครศรีธรรมราช!N554+นราธิวาส!N554+ปัตตานี!N554+พังงา!N554+พัทลุง!N554+ภูเก็ต!N554+ยะลา!N554+ระนอง!N554+สงขลา!N554+สตูล!N554+สุราษฎร์ธานี!N554</f>
        <v>0</v>
      </c>
      <c r="O554" s="175">
        <f t="shared" ca="1" si="87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กระบี่!L555+ชุมพร!L555+ตรัง!L555+นครศรีธรรมราช!L555+นราธิวาส!L555+ปัตตานี!L555+พังงา!L555+พัทลุง!L555+ภูเก็ต!L555+ยะลา!L555+ระนอง!L555+สงขลา!L555+สตูล!L555+สุราษฎร์ธานี!L555</f>
        <v>0</v>
      </c>
      <c r="M555" s="175"/>
      <c r="N555" s="175">
        <f ca="1">กระบี่!N555+ชุมพร!N555+ตรัง!N555+นครศรีธรรมราช!N555+นราธิวาส!N555+ปัตตานี!N555+พังงา!N555+พัทลุง!N555+ภูเก็ต!N555+ยะลา!N555+ระนอง!N555+สงขลา!N555+สตูล!N555+สุราษฎร์ธานี!N555</f>
        <v>0</v>
      </c>
      <c r="O555" s="175">
        <f t="shared" ca="1" si="87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กระบี่!N556+ชุมพร!N556+ตรัง!N556+นครศรีธรรมราช!N556+นราธิวาส!N556+ปัตตานี!N556+พังงา!N556+พัทลุง!N556+ภูเก็ต!N556+ยะลา!N556+ระนอง!N556+สงขลา!N556+สตูล!N556+สุราษฎร์ธานี!N556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กระบี่!N557+ชุมพร!N557+ตรัง!N557+นครศรีธรรมราช!N557+นราธิวาส!N557+ปัตตานี!N557+พังงา!N557+พัทลุง!N557+ภูเก็ต!N557+ยะลา!N557+ระนอง!N557+สงขลา!N557+สตูล!N557+สุราษฎร์ธานี!N557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กระบี่!N558+ชุมพร!N558+ตรัง!N558+นครศรีธรรมราช!N558+นราธิวาส!N558+ปัตตานี!N558+พังงา!N558+พัทลุง!N558+ภูเก็ต!N558+ยะลา!N558+ระนอง!N558+สงขลา!N558+สตูล!N558+สุราษฎร์ธานี!N558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กระบี่!N559+ชุมพร!N559+ตรัง!N559+นครศรีธรรมราช!N559+นราธิวาส!N559+ปัตตานี!N559+พังงา!N559+พัทลุง!N559+ภูเก็ต!N559+ยะลา!N559+ระนอง!N559+สงขลา!N559+สตูล!N559+สุราษฎร์ธานี!N559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กระบี่!I560+ชุมพร!I560+ตรัง!I560+นครศรีธรรมราช!I560+นราธิวาส!I560+ปัตตานี!I560+พังงา!I560+พัทลุง!I560+ภูเก็ต!I560+ยะลา!I560+ระนอง!I560+สงขลา!I560+สตูล!I560+สุราษฎร์ธานี!I560</f>
        <v>0</v>
      </c>
      <c r="J560" s="166">
        <f ca="1">กระบี่!J560+ชุมพร!J560+ตรัง!J560+นครศรีธรรมราช!J560+นราธิวาส!J560+ปัตตานี!J560+พังงา!J560+พัทลุง!J560+ภูเก็ต!J560+ยะลา!J560+ระนอง!J560+สงขลา!J560+สตูล!J560+สุราษฎร์ธานี!J560</f>
        <v>0</v>
      </c>
      <c r="K560" s="230">
        <f t="shared" ref="K560:K561" ca="1" si="88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กระบี่!I561+ชุมพร!I561+ตรัง!I561+นครศรีธรรมราช!I561+นราธิวาส!I561+ปัตตานี!I561+พังงา!I561+พัทลุง!I561+ภูเก็ต!I561+ยะลา!I561+ระนอง!I561+สงขลา!I561+สตูล!I561+สุราษฎร์ธานี!I561</f>
        <v>0</v>
      </c>
      <c r="J561" s="210">
        <f ca="1">กระบี่!J561+ชุมพร!J561+ตรัง!J561+นครศรีธรรมราช!J561+นราธิวาส!J561+ปัตตานี!J561+พังงา!J561+พัทลุง!J561+ภูเก็ต!J561+ยะลา!J561+ระนอง!J561+สงขลา!J561+สตูล!J561+สุราษฎร์ธานี!J561</f>
        <v>0</v>
      </c>
      <c r="K561" s="230">
        <f t="shared" ca="1" si="88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กระบี่!I564+ชุมพร!I564+ตรัง!I564+นครศรีธรรมราช!I564+นราธิวาส!I564+ปัตตานี!I564+พังงา!I564+พัทลุง!I564+ภูเก็ต!I564+ยะลา!I564+ระนอง!I564+สงขลา!I564+สตูล!I564+สุราษฎร์ธานี!I564</f>
        <v>12200</v>
      </c>
      <c r="J564" s="377">
        <f ca="1">กระบี่!J564+ชุมพร!J564+ตรัง!J564+นครศรีธรรมราช!J564+นราธิวาส!J564+ปัตตานี!J564+พังงา!J564+พัทลุง!J564+ภูเก็ต!J564+ยะลา!J564+ระนอง!J564+สงขลา!J564+สตูล!J564+สุราษฎร์ธานี!J564</f>
        <v>37843</v>
      </c>
      <c r="K564" s="378">
        <f ca="1">IF(I564&gt;0,J564*100/I564,0)</f>
        <v>310.18852459016392</v>
      </c>
      <c r="L564" s="379">
        <f ca="1">กระบี่!L564+ชุมพร!L564+ตรัง!L564+นครศรีธรรมราช!L564+นราธิวาส!L564+ปัตตานี!L564+พังงา!L564+พัทลุง!L564+ภูเก็ต!L564+ยะลา!L564+ระนอง!L564+สงขลา!L564+สตูล!L564+สุราษฎร์ธานี!L564</f>
        <v>1798960</v>
      </c>
      <c r="M564" s="379"/>
      <c r="N564" s="379">
        <f ca="1">กระบี่!N564+ชุมพร!N564+ตรัง!N564+นครศรีธรรมราช!N564+นราธิวาส!N564+ปัตตานี!N564+พังงา!N564+พัทลุง!N564+ภูเก็ต!N564+ยะลา!N564+ระนอง!N564+สงขลา!N564+สตูล!N564+สุราษฎร์ธานี!N564</f>
        <v>1398516.3199999989</v>
      </c>
      <c r="O564" s="379">
        <f t="shared" ref="O564:O568" ca="1" si="89">+IF(L564&gt;0,N564*100/L564,0)</f>
        <v>77.740267710232516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กระบี่!L565+ชุมพร!L565+ตรัง!L565+นครศรีธรรมราช!L565+นราธิวาส!L565+ปัตตานี!L565+พังงา!L565+พัทลุง!L565+ภูเก็ต!L565+ยะลา!L565+ระนอง!L565+สงขลา!L565+สตูล!L565+สุราษฎร์ธานี!L565</f>
        <v>0</v>
      </c>
      <c r="M565" s="168"/>
      <c r="N565" s="175">
        <f ca="1">กระบี่!N565+ชุมพร!N565+ตรัง!N565+นครศรีธรรมราช!N565+นราธิวาส!N565+ปัตตานี!N565+พังงา!N565+พัทลุง!N565+ภูเก็ต!N565+ยะลา!N565+ระนอง!N565+สงขลา!N565+สตูล!N565+สุราษฎร์ธานี!N565</f>
        <v>0</v>
      </c>
      <c r="O565" s="175">
        <f t="shared" ca="1" si="89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กระบี่!L566+ชุมพร!L566+ตรัง!L566+นครศรีธรรมราช!L566+นราธิวาส!L566+ปัตตานี!L566+พังงา!L566+พัทลุง!L566+ภูเก็ต!L566+ยะลา!L566+ระนอง!L566+สงขลา!L566+สตูล!L566+สุราษฎร์ธานี!L566</f>
        <v>1798960</v>
      </c>
      <c r="M566" s="169"/>
      <c r="N566" s="175">
        <f ca="1">กระบี่!N566+ชุมพร!N566+ตรัง!N566+นครศรีธรรมราช!N566+นราธิวาส!N566+ปัตตานี!N566+พังงา!N566+พัทลุง!N566+ภูเก็ต!N566+ยะลา!N566+ระนอง!N566+สงขลา!N566+สตูล!N566+สุราษฎร์ธานี!N566</f>
        <v>1398516.3199999989</v>
      </c>
      <c r="O566" s="175">
        <f t="shared" ca="1" si="89"/>
        <v>77.740267710232516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กระบี่!L567+ชุมพร!L567+ตรัง!L567+นครศรีธรรมราช!L567+นราธิวาส!L567+ปัตตานี!L567+พังงา!L567+พัทลุง!L567+ภูเก็ต!L567+ยะลา!L567+ระนอง!L567+สงขลา!L567+สตูล!L567+สุราษฎร์ธานี!L567</f>
        <v>0</v>
      </c>
      <c r="M567" s="175"/>
      <c r="N567" s="175">
        <f ca="1">กระบี่!N567+ชุมพร!N567+ตรัง!N567+นครศรีธรรมราช!N567+นราธิวาส!N567+ปัตตานี!N567+พังงา!N567+พัทลุง!N567+ภูเก็ต!N567+ยะลา!N567+ระนอง!N567+สงขลา!N567+สตูล!N567+สุราษฎร์ธานี!N567</f>
        <v>0</v>
      </c>
      <c r="O567" s="175">
        <f t="shared" ca="1" si="89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กระบี่!L568+ชุมพร!L568+ตรัง!L568+นครศรีธรรมราช!L568+นราธิวาส!L568+ปัตตานี!L568+พังงา!L568+พัทลุง!L568+ภูเก็ต!L568+ยะลา!L568+ระนอง!L568+สงขลา!L568+สตูล!L568+สุราษฎร์ธานี!L568</f>
        <v>1798960</v>
      </c>
      <c r="M568" s="175"/>
      <c r="N568" s="175">
        <f ca="1">กระบี่!N568+ชุมพร!N568+ตรัง!N568+นครศรีธรรมราช!N568+นราธิวาส!N568+ปัตตานี!N568+พังงา!N568+พัทลุง!N568+ภูเก็ต!N568+ยะลา!N568+ระนอง!N568+สงขลา!N568+สตูล!N568+สุราษฎร์ธานี!N568</f>
        <v>1398516.3199999989</v>
      </c>
      <c r="O568" s="175">
        <f t="shared" ca="1" si="89"/>
        <v>77.740267710232516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กระบี่!N569+ชุมพร!N569+ตรัง!N569+นครศรีธรรมราช!N569+นราธิวาส!N569+ปัตตานี!N569+พังงา!N569+พัทลุง!N569+ภูเก็ต!N569+ยะลา!N569+ระนอง!N569+สงขลา!N569+สตูล!N569+สุราษฎร์ธานี!N569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กระบี่!N570+ชุมพร!N570+ตรัง!N570+นครศรีธรรมราช!N570+นราธิวาส!N570+ปัตตานี!N570+พังงา!N570+พัทลุง!N570+ภูเก็ต!N570+ยะลา!N570+ระนอง!N570+สงขลา!N570+สตูล!N570+สุราษฎร์ธานี!N570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กระบี่!N571+ชุมพร!N571+ตรัง!N571+นครศรีธรรมราช!N571+นราธิวาส!N571+ปัตตานี!N571+พังงา!N571+พัทลุง!N571+ภูเก็ต!N571+ยะลา!N571+ระนอง!N571+สงขลา!N571+สตูล!N571+สุราษฎร์ธานี!N571</f>
        <v>1096421.72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กระบี่!N572+ชุมพร!N572+ตรัง!N572+นครศรีธรรมราช!N572+นราธิวาส!N572+ปัตตานี!N572+พังงา!N572+พัทลุง!N572+ภูเก็ต!N572+ยะลา!N572+ระนอง!N572+สงขลา!N572+สตูล!N572+สุราษฎร์ธานี!N572</f>
        <v>302094.59999999998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กระบี่!I573+ชุมพร!I573+ตรัง!I573+นครศรีธรรมราช!I573+นราธิวาส!I573+ปัตตานี!I573+พังงา!I573+พัทลุง!I573+ภูเก็ต!I573+ยะลา!I573+ระนอง!I573+สงขลา!I573+สตูล!I573+สุราษฎร์ธานี!I573</f>
        <v>12200</v>
      </c>
      <c r="J573" s="426">
        <f ca="1">กระบี่!J573+ชุมพร!J573+ตรัง!J573+นครศรีธรรมราช!J573+นราธิวาส!J573+ปัตตานี!J573+พังงา!J573+พัทลุง!J573+ภูเก็ต!J573+ยะลา!J573+ระนอง!J573+สงขลา!J573+สตูล!J573+สุราษฎร์ธานี!J573</f>
        <v>37843</v>
      </c>
      <c r="K573" s="208">
        <f ca="1">IF(I573&gt;0,J573*100/I573,0)</f>
        <v>310.18852459016392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กระบี่!I575+ชุมพร!I575+ตรัง!I575+นครศรีธรรมราช!I575+นราธิวาส!I575+ปัตตานี!I575+พังงา!I575+พัทลุง!I575+ภูเก็ต!I575+ยะลา!I575+ระนอง!I575+สงขลา!I575+สตูล!I575+สุราษฎร์ธานี!I575</f>
        <v>0</v>
      </c>
      <c r="J575" s="204">
        <f ca="1">กระบี่!J575+ชุมพร!J575+ตรัง!J575+นครศรีธรรมราช!J575+นราธิวาส!J575+ปัตตานี!J575+พังงา!J575+พัทลุง!J575+ภูเก็ต!J575+ยะลา!J575+ระนอง!J575+สงขลา!J575+สตูล!J575+สุราษฎร์ธานี!J575</f>
        <v>76</v>
      </c>
      <c r="K575" s="167">
        <f t="shared" ref="K575:K579" ca="1" si="90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กระบี่!I576+ชุมพร!I576+ตรัง!I576+นครศรีธรรมราช!I576+นราธิวาส!I576+ปัตตานี!I576+พังงา!I576+พัทลุง!I576+ภูเก็ต!I576+ยะลา!I576+ระนอง!I576+สงขลา!I576+สตูล!I576+สุราษฎร์ธานี!I576</f>
        <v>0</v>
      </c>
      <c r="J576" s="204">
        <f ca="1">กระบี่!J576+ชุมพร!J576+ตรัง!J576+นครศรีธรรมราช!J576+นราธิวาส!J576+ปัตตานี!J576+พังงา!J576+พัทลุง!J576+ภูเก็ต!J576+ยะลา!J576+ระนอง!J576+สงขลา!J576+สตูล!J576+สุราษฎร์ธานี!J576</f>
        <v>2538</v>
      </c>
      <c r="K576" s="167">
        <f t="shared" ca="1" si="90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กระบี่!I577+ชุมพร!I577+ตรัง!I577+นครศรีธรรมราช!I577+นราธิวาส!I577+ปัตตานี!I577+พังงา!I577+พัทลุง!I577+ภูเก็ต!I577+ยะลา!I577+ระนอง!I577+สงขลา!I577+สตูล!I577+สุราษฎร์ธานี!I577</f>
        <v>0</v>
      </c>
      <c r="J577" s="195">
        <f ca="1">กระบี่!J577+ชุมพร!J577+ตรัง!J577+นครศรีธรรมราช!J577+นราธิวาส!J577+ปัตตานี!J577+พังงา!J577+พัทลุง!J577+ภูเก็ต!J577+ยะลา!J577+ระนอง!J577+สงขลา!J577+สตูล!J577+สุราษฎร์ธานี!J577</f>
        <v>35130</v>
      </c>
      <c r="K577" s="167">
        <f t="shared" ca="1" si="90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กระบี่!I578+ชุมพร!I578+ตรัง!I578+นครศรีธรรมราช!I578+นราธิวาส!I578+ปัตตานี!I578+พังงา!I578+พัทลุง!I578+ภูเก็ต!I578+ยะลา!I578+ระนอง!I578+สงขลา!I578+สตูล!I578+สุราษฎร์ธานี!I578</f>
        <v>0</v>
      </c>
      <c r="J578" s="204">
        <f ca="1">กระบี่!J578+ชุมพร!J578+ตรัง!J578+นครศรีธรรมราช!J578+นราธิวาส!J578+ปัตตานี!J578+พังงา!J578+พัทลุง!J578+ภูเก็ต!J578+ยะลา!J578+ระนอง!J578+สงขลา!J578+สตูล!J578+สุราษฎร์ธานี!J578</f>
        <v>14</v>
      </c>
      <c r="K578" s="167">
        <f t="shared" ca="1" si="90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กระบี่!I579+ชุมพร!I579+ตรัง!I579+นครศรีธรรมราช!I579+นราธิวาส!I579+ปัตตานี!I579+พังงา!I579+พัทลุง!I579+ภูเก็ต!I579+ยะลา!I579+ระนอง!I579+สงขลา!I579+สตูล!I579+สุราษฎร์ธานี!I579</f>
        <v>0</v>
      </c>
      <c r="J579" s="204">
        <f ca="1">กระบี่!J579+ชุมพร!J579+ตรัง!J579+นครศรีธรรมราช!J579+นราธิวาส!J579+ปัตตานี!J579+พังงา!J579+พัทลุง!J579+ภูเก็ต!J579+ยะลา!J579+ระนอง!J579+สงขลา!J579+สตูล!J579+สุราษฎร์ธานี!J579</f>
        <v>161</v>
      </c>
      <c r="K579" s="167">
        <f t="shared" ca="1" si="90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กระบี่!I580+ชุมพร!I580+ตรัง!I580+นครศรีธรรมราช!I580+นราธิวาส!I580+ปัตตานี!I580+พังงา!I580+พัทลุง!I580+ภูเก็ต!I580+ยะลา!I580+ระนอง!I580+สงขลา!I580+สตูล!I580+สุราษฎร์ธานี!I580</f>
        <v>294</v>
      </c>
      <c r="J580" s="377">
        <f ca="1">กระบี่!J580+ชุมพร!J580+ตรัง!J580+นครศรีธรรมราช!J580+นราธิวาส!J580+ปัตตานี!J580+พังงา!J580+พัทลุง!J580+ภูเก็ต!J580+ยะลา!J580+ระนอง!J580+สงขลา!J580+สตูล!J580+สุราษฎร์ธานี!J580</f>
        <v>107</v>
      </c>
      <c r="K580" s="378">
        <f ca="1">IF(I580&gt;0,J580*100/I580,0)</f>
        <v>36.394557823129254</v>
      </c>
      <c r="L580" s="379">
        <f ca="1">กระบี่!L580+ชุมพร!L580+ตรัง!L580+นครศรีธรรมราช!L580+นราธิวาส!L580+ปัตตานี!L580+พังงา!L580+พัทลุง!L580+ภูเก็ต!L580+ยะลา!L580+ระนอง!L580+สงขลา!L580+สตูล!L580+สุราษฎร์ธานี!L580</f>
        <v>730592</v>
      </c>
      <c r="M580" s="379"/>
      <c r="N580" s="379">
        <f ca="1">กระบี่!N580+ชุมพร!N580+ตรัง!N580+นครศรีธรรมราช!N580+นราธิวาส!N580+ปัตตานี!N580+พังงา!N580+พัทลุง!N580+ภูเก็ต!N580+ยะลา!N580+ระนอง!N580+สงขลา!N580+สตูล!N580+สุราษฎร์ธานี!N580</f>
        <v>359641</v>
      </c>
      <c r="O580" s="379">
        <f t="shared" ref="O580:O584" ca="1" si="91">+IF(L580&gt;0,N580*100/L580,0)</f>
        <v>49.225970172134382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กระบี่!L581+ชุมพร!L581+ตรัง!L581+นครศรีธรรมราช!L581+นราธิวาส!L581+ปัตตานี!L581+พังงา!L581+พัทลุง!L581+ภูเก็ต!L581+ยะลา!L581+ระนอง!L581+สงขลา!L581+สตูล!L581+สุราษฎร์ธานี!L581</f>
        <v>0</v>
      </c>
      <c r="M581" s="168"/>
      <c r="N581" s="175">
        <f ca="1">กระบี่!N581+ชุมพร!N581+ตรัง!N581+นครศรีธรรมราช!N581+นราธิวาส!N581+ปัตตานี!N581+พังงา!N581+พัทลุง!N581+ภูเก็ต!N581+ยะลา!N581+ระนอง!N581+สงขลา!N581+สตูล!N581+สุราษฎร์ธานี!N581</f>
        <v>0</v>
      </c>
      <c r="O581" s="175">
        <f t="shared" ca="1" si="91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กระบี่!L582+ชุมพร!L582+ตรัง!L582+นครศรีธรรมราช!L582+นราธิวาส!L582+ปัตตานี!L582+พังงา!L582+พัทลุง!L582+ภูเก็ต!L582+ยะลา!L582+ระนอง!L582+สงขลา!L582+สตูล!L582+สุราษฎร์ธานี!L582</f>
        <v>730592</v>
      </c>
      <c r="M582" s="169"/>
      <c r="N582" s="175">
        <f ca="1">กระบี่!N582+ชุมพร!N582+ตรัง!N582+นครศรีธรรมราช!N582+นราธิวาส!N582+ปัตตานี!N582+พังงา!N582+พัทลุง!N582+ภูเก็ต!N582+ยะลา!N582+ระนอง!N582+สงขลา!N582+สตูล!N582+สุราษฎร์ธานี!N582</f>
        <v>359641</v>
      </c>
      <c r="O582" s="175">
        <f t="shared" ca="1" si="91"/>
        <v>49.225970172134382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กระบี่!L583+ชุมพร!L583+ตรัง!L583+นครศรีธรรมราช!L583+นราธิวาส!L583+ปัตตานี!L583+พังงา!L583+พัทลุง!L583+ภูเก็ต!L583+ยะลา!L583+ระนอง!L583+สงขลา!L583+สตูล!L583+สุราษฎร์ธานี!L583</f>
        <v>0</v>
      </c>
      <c r="M583" s="175"/>
      <c r="N583" s="175">
        <f ca="1">กระบี่!N583+ชุมพร!N583+ตรัง!N583+นครศรีธรรมราช!N583+นราธิวาส!N583+ปัตตานี!N583+พังงา!N583+พัทลุง!N583+ภูเก็ต!N583+ยะลา!N583+ระนอง!N583+สงขลา!N583+สตูล!N583+สุราษฎร์ธานี!N583</f>
        <v>0</v>
      </c>
      <c r="O583" s="175">
        <f t="shared" ca="1" si="91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กระบี่!L584+ชุมพร!L584+ตรัง!L584+นครศรีธรรมราช!L584+นราธิวาส!L584+ปัตตานี!L584+พังงา!L584+พัทลุง!L584+ภูเก็ต!L584+ยะลา!L584+ระนอง!L584+สงขลา!L584+สตูล!L584+สุราษฎร์ธานี!L584</f>
        <v>730592</v>
      </c>
      <c r="M584" s="175"/>
      <c r="N584" s="175">
        <f ca="1">กระบี่!N584+ชุมพร!N584+ตรัง!N584+นครศรีธรรมราช!N584+นราธิวาส!N584+ปัตตานี!N584+พังงา!N584+พัทลุง!N584+ภูเก็ต!N584+ยะลา!N584+ระนอง!N584+สงขลา!N584+สตูล!N584+สุราษฎร์ธานี!N584</f>
        <v>359641</v>
      </c>
      <c r="O584" s="175">
        <f t="shared" ca="1" si="91"/>
        <v>49.225970172134382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กระบี่!N585+ชุมพร!N585+ตรัง!N585+นครศรีธรรมราช!N585+นราธิวาส!N585+ปัตตานี!N585+พังงา!N585+พัทลุง!N585+ภูเก็ต!N585+ยะลา!N585+ระนอง!N585+สงขลา!N585+สตูล!N585+สุราษฎร์ธานี!N585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กระบี่!N586+ชุมพร!N586+ตรัง!N586+นครศรีธรรมราช!N586+นราธิวาส!N586+ปัตตานี!N586+พังงา!N586+พัทลุง!N586+ภูเก็ต!N586+ยะลา!N586+ระนอง!N586+สงขลา!N586+สตูล!N586+สุราษฎร์ธานี!N586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กระบี่!N587+ชุมพร!N587+ตรัง!N587+นครศรีธรรมราช!N587+นราธิวาส!N587+ปัตตานี!N587+พังงา!N587+พัทลุง!N587+ภูเก็ต!N587+ยะลา!N587+ระนอง!N587+สงขลา!N587+สตูล!N587+สุราษฎร์ธานี!N587</f>
        <v>117096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กระบี่!N588+ชุมพร!N588+ตรัง!N588+นครศรีธรรมราช!N588+นราธิวาส!N588+ปัตตานี!N588+พังงา!N588+พัทลุง!N588+ภูเก็ต!N588+ยะลา!N588+ระนอง!N588+สงขลา!N588+สตูล!N588+สุราษฎร์ธานี!N588</f>
        <v>242545</v>
      </c>
      <c r="O588" s="175"/>
      <c r="P588" s="175"/>
    </row>
    <row r="589" spans="1:16" ht="21.75" customHeight="1" x14ac:dyDescent="0.2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กระบี่!I589+ชุมพร!I589+ตรัง!I589+นครศรีธรรมราช!I589+นราธิวาส!I589+ปัตตานี!I589+พังงา!I589+พัทลุง!I589+ภูเก็ต!I589+ยะลา!I589+ระนอง!I589+สงขลา!I589+สตูล!I589+สุราษฎร์ธานี!I589</f>
        <v>294</v>
      </c>
      <c r="J589" s="194">
        <f ca="1">กระบี่!J589+ชุมพร!J589+ตรัง!J589+นครศรีธรรมราช!J589+นราธิวาส!J589+ปัตตานี!J589+พังงา!J589+พัทลุง!J589+ภูเก็ต!J589+ยะลา!J589+ระนอง!J589+สงขลา!J589+สตูล!J589+สุราษฎร์ธานี!J589</f>
        <v>302</v>
      </c>
      <c r="K589" s="167">
        <f t="shared" ref="K589:K596" ca="1" si="92">IF(I589&gt;0,J589*100/I589,0)</f>
        <v>102.72108843537416</v>
      </c>
      <c r="L589" s="188"/>
      <c r="M589" s="188"/>
      <c r="N589" s="175"/>
      <c r="O589" s="188"/>
      <c r="P589" s="188"/>
    </row>
    <row r="590" spans="1:16" ht="21.75" customHeight="1" x14ac:dyDescent="0.2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กระบี่!I590+ชุมพร!I590+ตรัง!I590+นครศรีธรรมราช!I590+นราธิวาส!I590+ปัตตานี!I590+พังงา!I590+พัทลุง!I590+ภูเก็ต!I590+ยะลา!I590+ระนอง!I590+สงขลา!I590+สตูล!I590+สุราษฎร์ธานี!I590</f>
        <v>0</v>
      </c>
      <c r="J590" s="194">
        <f ca="1">กระบี่!J590+ชุมพร!J590+ตรัง!J590+นครศรีธรรมราช!J590+นราธิวาส!J590+ปัตตานี!J590+พังงา!J590+พัทลุง!J590+ภูเก็ต!J590+ยะลา!J590+ระนอง!J590+สงขลา!J590+สตูล!J590+สุราษฎร์ธานี!J590</f>
        <v>81.849999999999994</v>
      </c>
      <c r="K590" s="486">
        <f t="shared" ca="1" si="92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กระบี่!I591+ชุมพร!I591+ตรัง!I591+นครศรีธรรมราช!I591+นราธิวาส!I591+ปัตตานี!I591+พังงา!I591+พัทลุง!I591+ภูเก็ต!I591+ยะลา!I591+ระนอง!I591+สงขลา!I591+สตูล!I591+สุราษฎร์ธานี!I591</f>
        <v>294</v>
      </c>
      <c r="J591" s="194">
        <f ca="1">กระบี่!J591+ชุมพร!J591+ตรัง!J591+นครศรีธรรมราช!J591+นราธิวาส!J591+ปัตตานี!J591+พังงา!J591+พัทลุง!J591+ภูเก็ต!J591+ยะลา!J591+ระนอง!J591+สงขลา!J591+สตูล!J591+สุราษฎร์ธานี!J591</f>
        <v>224</v>
      </c>
      <c r="K591" s="167">
        <f t="shared" ca="1" si="92"/>
        <v>76.19047619047619</v>
      </c>
      <c r="L591" s="188"/>
      <c r="M591" s="188"/>
      <c r="N591" s="188"/>
      <c r="O591" s="188"/>
      <c r="P591" s="188"/>
    </row>
    <row r="592" spans="1:16" ht="21.75" customHeight="1" x14ac:dyDescent="0.2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กระบี่!I592+ชุมพร!I592+ตรัง!I592+นครศรีธรรมราช!I592+นราธิวาส!I592+ปัตตานี!I592+พังงา!I592+พัทลุง!I592+ภูเก็ต!I592+ยะลา!I592+ระนอง!I592+สงขลา!I592+สตูล!I592+สุราษฎร์ธานี!I592</f>
        <v>0</v>
      </c>
      <c r="J592" s="194">
        <f ca="1">กระบี่!J592+ชุมพร!J592+ตรัง!J592+นครศรีธรรมราช!J592+นราธิวาส!J592+ปัตตานี!J592+พังงา!J592+พัทลุง!J592+ภูเก็ต!J592+ยะลา!J592+ระนอง!J592+สงขลา!J592+สตูล!J592+สุราษฎร์ธานี!J592</f>
        <v>75.44</v>
      </c>
      <c r="K592" s="348">
        <f t="shared" ca="1" si="92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กระบี่!I593+ชุมพร!I593+ตรัง!I593+นครศรีธรรมราช!I593+นราธิวาส!I593+ปัตตานี!I593+พังงา!I593+พัทลุง!I593+ภูเก็ต!I593+ยะลา!I593+ระนอง!I593+สงขลา!I593+สตูล!I593+สุราษฎร์ธานี!I593</f>
        <v>294</v>
      </c>
      <c r="J593" s="194">
        <f ca="1">กระบี่!J593+ชุมพร!J593+ตรัง!J593+นครศรีธรรมราช!J593+นราธิวาส!J593+ปัตตานี!J593+พังงา!J593+พัทลุง!J593+ภูเก็ต!J593+ยะลา!J593+ระนอง!J593+สงขลา!J593+สตูล!J593+สุราษฎร์ธานี!J593</f>
        <v>83</v>
      </c>
      <c r="K593" s="167">
        <f t="shared" ca="1" si="92"/>
        <v>28.231292517006803</v>
      </c>
      <c r="L593" s="188"/>
      <c r="M593" s="188"/>
      <c r="N593" s="188"/>
      <c r="O593" s="188"/>
      <c r="P593" s="188"/>
    </row>
    <row r="594" spans="1:16" ht="21.75" customHeight="1" x14ac:dyDescent="0.2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กระบี่!I594+ชุมพร!I594+ตรัง!I594+นครศรีธรรมราช!I594+นราธิวาส!I594+ปัตตานี!I594+พังงา!I594+พัทลุง!I594+ภูเก็ต!I594+ยะลา!I594+ระนอง!I594+สงขลา!I594+สตูล!I594+สุราษฎร์ธานี!I594</f>
        <v>0</v>
      </c>
      <c r="J594" s="194">
        <f ca="1">กระบี่!J594+ชุมพร!J594+ตรัง!J594+นครศรีธรรมราช!J594+นราธิวาส!J594+ปัตตานี!J594+พังงา!J594+พัทลุง!J594+ภูเก็ต!J594+ยะลา!J594+ระนอง!J594+สงขลา!J594+สตูล!J594+สุราษฎร์ธานี!J594</f>
        <v>29.9</v>
      </c>
      <c r="K594" s="348">
        <f t="shared" ca="1" si="92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กระบี่!I595+ชุมพร!I595+ตรัง!I595+นครศรีธรรมราช!I595+นราธิวาส!I595+ปัตตานี!I595+พังงา!I595+พัทลุง!I595+ภูเก็ต!I595+ยะลา!I595+ระนอง!I595+สงขลา!I595+สตูล!I595+สุราษฎร์ธานี!I595</f>
        <v>294</v>
      </c>
      <c r="J595" s="194">
        <f ca="1">กระบี่!J595+ชุมพร!J595+ตรัง!J595+นครศรีธรรมราช!J595+นราธิวาส!J595+ปัตตานี!J595+พังงา!J595+พัทลุง!J595+ภูเก็ต!J595+ยะลา!J595+ระนอง!J595+สงขลา!J595+สตูล!J595+สุราษฎร์ธานี!J595</f>
        <v>107</v>
      </c>
      <c r="K595" s="167">
        <f t="shared" ca="1" si="92"/>
        <v>36.394557823129254</v>
      </c>
      <c r="L595" s="188"/>
      <c r="M595" s="188"/>
      <c r="N595" s="188"/>
      <c r="O595" s="188"/>
      <c r="P595" s="188"/>
    </row>
    <row r="596" spans="1:16" ht="21.75" customHeight="1" x14ac:dyDescent="0.2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กระบี่!I596+ชุมพร!I596+ตรัง!I596+นครศรีธรรมราช!I596+นราธิวาส!I596+ปัตตานี!I596+พังงา!I596+พัทลุง!I596+ภูเก็ต!I596+ยะลา!I596+ระนอง!I596+สงขลา!I596+สตูล!I596+สุราษฎร์ธานี!I596</f>
        <v>0</v>
      </c>
      <c r="J596" s="247">
        <f ca="1">กระบี่!J596+ชุมพร!J596+ตรัง!J596+นครศรีธรรมราช!J596+นราธิวาส!J596+ปัตตานี!J596+พังงา!J596+พัทลุง!J596+ภูเก็ต!J596+ยะลา!J596+ระนอง!J596+สงขลา!J596+สตูล!J596+สุราษฎร์ธานี!J596</f>
        <v>39.489999999999995</v>
      </c>
      <c r="K596" s="493">
        <f t="shared" ca="1" si="92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กระบี่!I597+ชุมพร!I597+ตรัง!I597+นครศรีธรรมราช!I597+นราธิวาส!I597+ปัตตานี!I597+พังงา!I597+พัทลุง!I597+ภูเก็ต!I597+ยะลา!I597+ระนอง!I597+สงขลา!I597+สตูล!I597+สุราษฎร์ธานี!I597</f>
        <v>1728</v>
      </c>
      <c r="J597" s="494">
        <f ca="1">กระบี่!J597+ชุมพร!J597+ตรัง!J597+นครศรีธรรมราช!J597+นราธิวาส!J597+ปัตตานี!J597+พังงา!J597+พัทลุง!J597+ภูเก็ต!J597+ยะลา!J597+ระนอง!J597+สงขลา!J597+สตูล!J597+สุราษฎร์ธานี!J597</f>
        <v>544.053</v>
      </c>
      <c r="K597" s="417">
        <f ca="1">IF(I597&gt;0,J597*100/I597,0)</f>
        <v>31.484548611111112</v>
      </c>
      <c r="L597" s="418">
        <f ca="1">กระบี่!L597+ชุมพร!L597+ตรัง!L597+นครศรีธรรมราช!L597+นราธิวาส!L597+ปัตตานี!L597+พังงา!L597+พัทลุง!L597+ภูเก็ต!L597+ยะลา!L597+ระนอง!L597+สงขลา!L597+สตูล!L597+สุราษฎร์ธานี!L597</f>
        <v>136140</v>
      </c>
      <c r="M597" s="418"/>
      <c r="N597" s="418">
        <f ca="1">กระบี่!N597+ชุมพร!N597+ตรัง!N597+นครศรีธรรมราช!N597+นราธิวาส!N597+ปัตตานี!N597+พังงา!N597+พัทลุง!N597+ภูเก็ต!N597+ยะลา!N597+ระนอง!N597+สงขลา!N597+สตูล!N597+สุราษฎร์ธานี!N597</f>
        <v>95289.84</v>
      </c>
      <c r="O597" s="418">
        <f t="shared" ref="O597:O601" ca="1" si="93">+IF(L597&gt;0,N597*100/L597,0)</f>
        <v>69.994006170118993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กระบี่!L598+ชุมพร!L598+ตรัง!L598+นครศรีธรรมราช!L598+นราธิวาส!L598+ปัตตานี!L598+พังงา!L598+พัทลุง!L598+ภูเก็ต!L598+ยะลา!L598+ระนอง!L598+สงขลา!L598+สตูล!L598+สุราษฎร์ธานี!L598</f>
        <v>0</v>
      </c>
      <c r="M598" s="168"/>
      <c r="N598" s="175">
        <f ca="1">กระบี่!N598+ชุมพร!N598+ตรัง!N598+นครศรีธรรมราช!N598+นราธิวาส!N598+ปัตตานี!N598+พังงา!N598+พัทลุง!N598+ภูเก็ต!N598+ยะลา!N598+ระนอง!N598+สงขลา!N598+สตูล!N598+สุราษฎร์ธานี!N598</f>
        <v>0</v>
      </c>
      <c r="O598" s="175">
        <f t="shared" ca="1" si="93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กระบี่!L599+ชุมพร!L599+ตรัง!L599+นครศรีธรรมราช!L599+นราธิวาส!L599+ปัตตานี!L599+พังงา!L599+พัทลุง!L599+ภูเก็ต!L599+ยะลา!L599+ระนอง!L599+สงขลา!L599+สตูล!L599+สุราษฎร์ธานี!L599</f>
        <v>136140</v>
      </c>
      <c r="M599" s="169"/>
      <c r="N599" s="175">
        <f ca="1">กระบี่!N599+ชุมพร!N599+ตรัง!N599+นครศรีธรรมราช!N599+นราธิวาส!N599+ปัตตานี!N599+พังงา!N599+พัทลุง!N599+ภูเก็ต!N599+ยะลา!N599+ระนอง!N599+สงขลา!N599+สตูล!N599+สุราษฎร์ธานี!N599</f>
        <v>95289.84</v>
      </c>
      <c r="O599" s="175">
        <f t="shared" ca="1" si="93"/>
        <v>69.994006170118993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กระบี่!L600+ชุมพร!L600+ตรัง!L600+นครศรีธรรมราช!L600+นราธิวาส!L600+ปัตตานี!L600+พังงา!L600+พัทลุง!L600+ภูเก็ต!L600+ยะลา!L600+ระนอง!L600+สงขลา!L600+สตูล!L600+สุราษฎร์ธานี!L600</f>
        <v>0</v>
      </c>
      <c r="M600" s="175"/>
      <c r="N600" s="175">
        <f ca="1">กระบี่!N600+ชุมพร!N600+ตรัง!N600+นครศรีธรรมราช!N600+นราธิวาส!N600+ปัตตานี!N600+พังงา!N600+พัทลุง!N600+ภูเก็ต!N600+ยะลา!N600+ระนอง!N600+สงขลา!N600+สตูล!N600+สุราษฎร์ธานี!N600</f>
        <v>0</v>
      </c>
      <c r="O600" s="175">
        <f t="shared" ca="1" si="93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กระบี่!L601+ชุมพร!L601+ตรัง!L601+นครศรีธรรมราช!L601+นราธิวาส!L601+ปัตตานี!L601+พังงา!L601+พัทลุง!L601+ภูเก็ต!L601+ยะลา!L601+ระนอง!L601+สงขลา!L601+สตูล!L601+สุราษฎร์ธานี!L601</f>
        <v>136140</v>
      </c>
      <c r="M601" s="175"/>
      <c r="N601" s="175">
        <f ca="1">กระบี่!N601+ชุมพร!N601+ตรัง!N601+นครศรีธรรมราช!N601+นราธิวาส!N601+ปัตตานี!N601+พังงา!N601+พัทลุง!N601+ภูเก็ต!N601+ยะลา!N601+ระนอง!N601+สงขลา!N601+สตูล!N601+สุราษฎร์ธานี!N601</f>
        <v>95289.84</v>
      </c>
      <c r="O601" s="175">
        <f t="shared" ca="1" si="93"/>
        <v>69.994006170118993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กระบี่!N602+ชุมพร!N602+ตรัง!N602+นครศรีธรรมราช!N602+นราธิวาส!N602+ปัตตานี!N602+พังงา!N602+พัทลุง!N602+ภูเก็ต!N602+ยะลา!N602+ระนอง!N602+สงขลา!N602+สตูล!N602+สุราษฎร์ธานี!N602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กระบี่!N603+ชุมพร!N603+ตรัง!N603+นครศรีธรรมราช!N603+นราธิวาส!N603+ปัตตานี!N603+พังงา!N603+พัทลุง!N603+ภูเก็ต!N603+ยะลา!N603+ระนอง!N603+สงขลา!N603+สตูล!N603+สุราษฎร์ธานี!N603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กระบี่!N604+ชุมพร!N604+ตรัง!N604+นครศรีธรรมราช!N604+นราธิวาส!N604+ปัตตานี!N604+พังงา!N604+พัทลุง!N604+ภูเก็ต!N604+ยะลา!N604+ระนอง!N604+สงขลา!N604+สตูล!N604+สุราษฎร์ธานี!N604</f>
        <v>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กระบี่!N605+ชุมพร!N605+ตรัง!N605+นครศรีธรรมราช!N605+นราธิวาส!N605+ปัตตานี!N605+พังงา!N605+พัทลุง!N605+ภูเก็ต!N605+ยะลา!N605+ระนอง!N605+สงขลา!N605+สตูล!N605+สุราษฎร์ธานี!N605</f>
        <v>95289.84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กระบี่!J607+ชุมพร!J607+ตรัง!J607+นครศรีธรรมราช!J607+นราธิวาส!J607+ปัตตานี!J607+พังงา!J607+พัทลุง!J607+ภูเก็ต!J607+ยะลา!J607+ระนอง!J607+สงขลา!J607+สตูล!J607+สุราษฎร์ธานี!J607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กระบี่!J608+ชุมพร!J608+ตรัง!J608+นครศรีธรรมราช!J608+นราธิวาส!J608+ปัตตานี!J608+พังงา!J608+พัทลุง!J608+ภูเก็ต!J608+ยะลา!J608+ระนอง!J608+สงขลา!J608+สตูล!J608+สุราษฎร์ธานี!J608</f>
        <v>13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กระบี่!J609+ชุมพร!J609+ตรัง!J609+นครศรีธรรมราช!J609+นราธิวาส!J609+ปัตตานี!J609+พังงา!J609+พัทลุง!J609+ภูเก็ต!J609+ยะลา!J609+ระนอง!J609+สงขลา!J609+สตูล!J609+สุราษฎร์ธานี!J609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2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กระบี่!J610+ชุมพร!J610+ตรัง!J610+นครศรีธรรมราช!J610+นราธิวาส!J610+ปัตตานี!J610+พังงา!J610+พัทลุง!J610+ภูเก็ต!J610+ยะลา!J610+ระนอง!J610+สงขลา!J610+สตูล!J610+สุราษฎร์ธานี!J610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กระบี่!I611+ชุมพร!I611+ตรัง!I611+นครศรีธรรมราช!I611+นราธิวาส!I611+ปัตตานี!I611+พังงา!I611+พัทลุง!I611+ภูเก็ต!I611+ยะลา!I611+ระนอง!I611+สงขลา!I611+สตูล!I611+สุราษฎร์ธานี!I611</f>
        <v>1728</v>
      </c>
      <c r="J611" s="166">
        <f ca="1">กระบี่!J611+ชุมพร!J611+ตรัง!J611+นครศรีธรรมราช!J611+นราธิวาส!J611+ปัตตานี!J611+พังงา!J611+พัทลุง!J611+ภูเก็ต!J611+ยะลา!J611+ระนอง!J611+สงขลา!J611+สตูล!J611+สุราษฎร์ธานี!J611</f>
        <v>544.053</v>
      </c>
      <c r="K611" s="167">
        <f t="shared" ref="K611:K619" ca="1" si="94">IF(I$611&gt;0,J611*100/I$611,0)</f>
        <v>31.484548611111112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กระบี่!I612+ชุมพร!I612+ตรัง!I612+นครศรีธรรมราช!I612+นราธิวาส!I612+ปัตตานี!I612+พังงา!I612+พัทลุง!I612+ภูเก็ต!I612+ยะลา!I612+ระนอง!I612+สงขลา!I612+สตูล!I612+สุราษฎร์ธานี!I612</f>
        <v>0</v>
      </c>
      <c r="J612" s="204">
        <f ca="1">กระบี่!J612+ชุมพร!J612+ตรัง!J612+นครศรีธรรมราช!J612+นราธิวาส!J612+ปัตตานี!J612+พังงา!J612+พัทลุง!J612+ภูเก็ต!J612+ยะลา!J612+ระนอง!J612+สงขลา!J612+สตูล!J612+สุราษฎร์ธานี!J612</f>
        <v>970.97399999999993</v>
      </c>
      <c r="K612" s="167">
        <f t="shared" ca="1" si="94"/>
        <v>56.190624999999997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กระบี่!I613+ชุมพร!I613+ตรัง!I613+นครศรีธรรมราช!I613+นราธิวาส!I613+ปัตตานี!I613+พังงา!I613+พัทลุง!I613+ภูเก็ต!I613+ยะลา!I613+ระนอง!I613+สงขลา!I613+สตูล!I613+สุราษฎร์ธานี!I613</f>
        <v>0</v>
      </c>
      <c r="J613" s="204">
        <f ca="1">กระบี่!J613+ชุมพร!J613+ตรัง!J613+นครศรีธรรมราช!J613+นราธิวาส!J613+ปัตตานี!J613+พังงา!J613+พัทลุง!J613+ภูเก็ต!J613+ยะลา!J613+ระนอง!J613+สงขลา!J613+สตูล!J613+สุราษฎร์ธานี!J613</f>
        <v>970.55399999999997</v>
      </c>
      <c r="K613" s="167">
        <f t="shared" ca="1" si="94"/>
        <v>56.16631944444444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กระบี่!I614+ชุมพร!I614+ตรัง!I614+นครศรีธรรมราช!I614+นราธิวาส!I614+ปัตตานี!I614+พังงา!I614+พัทลุง!I614+ภูเก็ต!I614+ยะลา!I614+ระนอง!I614+สงขลา!I614+สตูล!I614+สุราษฎร์ธานี!I614</f>
        <v>0</v>
      </c>
      <c r="J614" s="204">
        <f ca="1">กระบี่!J614+ชุมพร!J614+ตรัง!J614+นครศรีธรรมราช!J614+นราธิวาส!J614+ปัตตานี!J614+พังงา!J614+พัทลุง!J614+ภูเก็ต!J614+ยะลา!J614+ระนอง!J614+สงขลา!J614+สตูล!J614+สุราษฎร์ธานี!J614</f>
        <v>941.55399999999997</v>
      </c>
      <c r="K614" s="167">
        <f t="shared" ca="1" si="94"/>
        <v>54.4880787037037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กระบี่!I615+ชุมพร!I615+ตรัง!I615+นครศรีธรรมราช!I615+นราธิวาส!I615+ปัตตานี!I615+พังงา!I615+พัทลุง!I615+ภูเก็ต!I615+ยะลา!I615+ระนอง!I615+สงขลา!I615+สตูล!I615+สุราษฎร์ธานี!I615</f>
        <v>0</v>
      </c>
      <c r="J615" s="204">
        <f ca="1">กระบี่!J615+ชุมพร!J615+ตรัง!J615+นครศรีธรรมราช!J615+นราธิวาส!J615+ปัตตานี!J615+พังงา!J615+พัทลุง!J615+ภูเก็ต!J615+ยะลา!J615+ระนอง!J615+สงขลา!J615+สตูล!J615+สุราษฎร์ธานี!J615</f>
        <v>896.55399999999997</v>
      </c>
      <c r="K615" s="167">
        <f t="shared" ca="1" si="94"/>
        <v>51.883912037037035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กระบี่!I616+ชุมพร!I616+ตรัง!I616+นครศรีธรรมราช!I616+นราธิวาส!I616+ปัตตานี!I616+พังงา!I616+พัทลุง!I616+ภูเก็ต!I616+ยะลา!I616+ระนอง!I616+สงขลา!I616+สตูล!I616+สุราษฎร์ธานี!I616</f>
        <v>0</v>
      </c>
      <c r="J616" s="204">
        <f ca="1">กระบี่!J616+ชุมพร!J616+ตรัง!J616+นครศรีธรรมราช!J616+นราธิวาส!J616+ปัตตานี!J616+พังงา!J616+พัทลุง!J616+ภูเก็ต!J616+ยะลา!J616+ระนอง!J616+สงขลา!J616+สตูล!J616+สุราษฎร์ธานี!J616</f>
        <v>593.55399999999997</v>
      </c>
      <c r="K616" s="167">
        <f t="shared" ca="1" si="94"/>
        <v>34.349189814814814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กระบี่!I617+ชุมพร!I617+ตรัง!I617+นครศรีธรรมราช!I617+นราธิวาส!I617+ปัตตานี!I617+พังงา!I617+พัทลุง!I617+ภูเก็ต!I617+ยะลา!I617+ระนอง!I617+สงขลา!I617+สตูล!I617+สุราษฎร์ธานี!I617</f>
        <v>0</v>
      </c>
      <c r="J617" s="194">
        <f ca="1">กระบี่!J617+ชุมพร!J617+ตรัง!J617+นครศรีธรรมราช!J617+นราธิวาส!J617+ปัตตานี!J617+พังงา!J617+พัทลุง!J617+ภูเก็ต!J617+ยะลา!J617+ระนอง!J617+สงขลา!J617+สตูล!J617+สุราษฎร์ธานี!J617</f>
        <v>544.053</v>
      </c>
      <c r="K617" s="167">
        <f t="shared" ca="1" si="94"/>
        <v>31.484548611111112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กระบี่!I618+ชุมพร!I618+ตรัง!I618+นครศรีธรรมราช!I618+นราธิวาส!I618+ปัตตานี!I618+พังงา!I618+พัทลุง!I618+ภูเก็ต!I618+ยะลา!I618+ระนอง!I618+สงขลา!I618+สตูล!I618+สุราษฎร์ธานี!I618</f>
        <v>0</v>
      </c>
      <c r="J618" s="195">
        <f ca="1">กระบี่!J618+ชุมพร!J618+ตรัง!J618+นครศรีธรรมราช!J618+นราธิวาส!J618+ปัตตานี!J618+พังงา!J618+พัทลุง!J618+ภูเก็ต!J618+ยะลา!J618+ระนอง!J618+สงขลา!J618+สตูล!J618+สุราษฎร์ธานี!J618</f>
        <v>308.91699999999997</v>
      </c>
      <c r="K618" s="167">
        <f t="shared" ca="1" si="94"/>
        <v>17.877141203703701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กระบี่!I619+ชุมพร!I619+ตรัง!I619+นครศรีธรรมราช!I619+นราธิวาส!I619+ปัตตานี!I619+พังงา!I619+พัทลุง!I619+ภูเก็ต!I619+ยะลา!I619+ระนอง!I619+สงขลา!I619+สตูล!I619+สุราษฎร์ธานี!I619</f>
        <v>0</v>
      </c>
      <c r="J619" s="195">
        <f ca="1">กระบี่!J619+ชุมพร!J619+ตรัง!J619+นครศรีธรรมราช!J619+นราธิวาส!J619+ปัตตานี!J619+พังงา!J619+พัทลุง!J619+ภูเก็ต!J619+ยะลา!J619+ระนอง!J619+สงขลา!J619+สตูล!J619+สุราษฎร์ธานี!J619</f>
        <v>235.136</v>
      </c>
      <c r="K619" s="167">
        <f t="shared" ca="1" si="94"/>
        <v>13.607407407407406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กระบี่!I620+ชุมพร!I620+ตรัง!I620+นครศรีธรรมราช!I620+นราธิวาส!I620+ปัตตานี!I620+พังงา!I620+พัทลุง!I620+ภูเก็ต!I620+ยะลา!I620+ระนอง!I620+สงขลา!I620+สตูล!I620+สุราษฎร์ธานี!I620</f>
        <v>314.83999999999901</v>
      </c>
      <c r="J620" s="209">
        <f ca="1">กระบี่!J620+ชุมพร!J620+ตรัง!J620+นครศรีธรรมราช!J620+นราธิวาส!J620+ปัตตานี!J620+พังงา!J620+พัทลุง!J620+ภูเก็ต!J620+ยะลา!J620+ระนอง!J620+สงขลา!J620+สตูล!J620+สุราษฎร์ธานี!J620</f>
        <v>267</v>
      </c>
      <c r="K620" s="167">
        <f t="shared" ref="K620:K626" ca="1" si="95">IF(I$620&gt;0,J620*100/I$620,0)</f>
        <v>84.804980307458024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กระบี่!I621+ชุมพร!I621+ตรัง!I621+นครศรีธรรมราช!I621+นราธิวาส!I621+ปัตตานี!I621+พังงา!I621+พัทลุง!I621+ภูเก็ต!I621+ยะลา!I621+ระนอง!I621+สงขลา!I621+สตูล!I621+สุราษฎร์ธานี!I621</f>
        <v>0</v>
      </c>
      <c r="J621" s="209">
        <f ca="1">กระบี่!J621+ชุมพร!J621+ตรัง!J621+นครศรีธรรมราช!J621+นราธิวาส!J621+ปัตตานี!J621+พังงา!J621+พัทลุง!J621+ภูเก็ต!J621+ยะลา!J621+ระนอง!J621+สงขลา!J621+สตูล!J621+สุราษฎร์ธานี!J621</f>
        <v>267</v>
      </c>
      <c r="K621" s="167">
        <f t="shared" ca="1" si="95"/>
        <v>84.804980307458024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กระบี่!I622+ชุมพร!I622+ตรัง!I622+นครศรีธรรมราช!I622+นราธิวาส!I622+ปัตตานี!I622+พังงา!I622+พัทลุง!I622+ภูเก็ต!I622+ยะลา!I622+ระนอง!I622+สงขลา!I622+สตูล!I622+สุราษฎร์ธานี!I622</f>
        <v>0</v>
      </c>
      <c r="J622" s="195">
        <f ca="1">กระบี่!J622+ชุมพร!J622+ตรัง!J622+นครศรีธรรมราช!J622+นราธิวาส!J622+ปัตตานี!J622+พังงา!J622+พัทลุง!J622+ภูเก็ต!J622+ยะลา!J622+ระนอง!J622+สงขลา!J622+สตูล!J622+สุราษฎร์ธานี!J622</f>
        <v>125</v>
      </c>
      <c r="K622" s="167">
        <f t="shared" ca="1" si="95"/>
        <v>39.702706136450388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กระบี่!I623+ชุมพร!I623+ตรัง!I623+นครศรีธรรมราช!I623+นราธิวาส!I623+ปัตตานี!I623+พังงา!I623+พัทลุง!I623+ภูเก็ต!I623+ยะลา!I623+ระนอง!I623+สงขลา!I623+สตูล!I623+สุราษฎร์ธานี!I623</f>
        <v>0</v>
      </c>
      <c r="J623" s="195">
        <f ca="1">กระบี่!J623+ชุมพร!J623+ตรัง!J623+นครศรีธรรมราช!J623+นราธิวาส!J623+ปัตตานี!J623+พังงา!J623+พัทลุง!J623+ภูเก็ต!J623+ยะลา!J623+ระนอง!J623+สงขลา!J623+สตูล!J623+สุราษฎร์ธานี!J623</f>
        <v>142</v>
      </c>
      <c r="K623" s="167">
        <f t="shared" ca="1" si="95"/>
        <v>45.102274171007636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กระบี่!I624+ชุมพร!I624+ตรัง!I624+นครศรีธรรมราช!I624+นราธิวาส!I624+ปัตตานี!I624+พังงา!I624+พัทลุง!I624+ภูเก็ต!I624+ยะลา!I624+ระนอง!I624+สงขลา!I624+สตูล!I624+สุราษฎร์ธานี!I624</f>
        <v>0</v>
      </c>
      <c r="J624" s="194">
        <f ca="1">กระบี่!J624+ชุมพร!J624+ตรัง!J624+นครศรีธรรมราช!J624+นราธิวาส!J624+ปัตตานี!J624+พังงา!J624+พัทลุง!J624+ภูเก็ต!J624+ยะลา!J624+ระนอง!J624+สงขลา!J624+สตูล!J624+สุราษฎร์ธานี!J624</f>
        <v>267</v>
      </c>
      <c r="K624" s="167">
        <f t="shared" ca="1" si="95"/>
        <v>84.804980307458024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กระบี่!I625+ชุมพร!I625+ตรัง!I625+นครศรีธรรมราช!I625+นราธิวาส!I625+ปัตตานี!I625+พังงา!I625+พัทลุง!I625+ภูเก็ต!I625+ยะลา!I625+ระนอง!I625+สงขลา!I625+สตูล!I625+สุราษฎร์ธานี!I625</f>
        <v>0</v>
      </c>
      <c r="J625" s="195">
        <f ca="1">กระบี่!J625+ชุมพร!J625+ตรัง!J625+นครศรีธรรมราช!J625+นราธิวาส!J625+ปัตตานี!J625+พังงา!J625+พัทลุง!J625+ภูเก็ต!J625+ยะลา!J625+ระนอง!J625+สงขลา!J625+สตูล!J625+สุราษฎร์ธานี!J625</f>
        <v>248</v>
      </c>
      <c r="K625" s="167">
        <f t="shared" ca="1" si="95"/>
        <v>78.770168974717564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กระบี่!I626+ชุมพร!I626+ตรัง!I626+นครศรีธรรมราช!I626+นราธิวาส!I626+ปัตตานี!I626+พังงา!I626+พัทลุง!I626+ภูเก็ต!I626+ยะลา!I626+ระนอง!I626+สงขลา!I626+สตูล!I626+สุราษฎร์ธานี!I626</f>
        <v>0</v>
      </c>
      <c r="J626" s="195">
        <f ca="1">กระบี่!J626+ชุมพร!J626+ตรัง!J626+นครศรีธรรมราช!J626+นราธิวาส!J626+ปัตตานี!J626+พังงา!J626+พัทลุง!J626+ภูเก็ต!J626+ยะลา!J626+ระนอง!J626+สงขลา!J626+สตูล!J626+สุราษฎร์ธานี!J626</f>
        <v>248</v>
      </c>
      <c r="K626" s="167">
        <f t="shared" ca="1" si="95"/>
        <v>78.770168974717564</v>
      </c>
      <c r="L626" s="188"/>
      <c r="M626" s="188"/>
      <c r="N626" s="188"/>
      <c r="O626" s="188"/>
      <c r="P626" s="188"/>
    </row>
    <row r="627" spans="1:16" ht="21.75" customHeight="1" x14ac:dyDescent="0.2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2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กระบี่!I628+ชุมพร!I628+ตรัง!I628+นครศรีธรรมราช!I628+นราธิวาส!I628+ปัตตานี!I628+พังงา!I628+พัทลุง!I628+ภูเก็ต!I628+ยะลา!I628+ระนอง!I628+สงขลา!I628+สตูล!I628+สุราษฎร์ธานี!I628</f>
        <v>18280014.16</v>
      </c>
      <c r="J628" s="347">
        <f ca="1">กระบี่!J628+ชุมพร!J628+ตรัง!J628+นครศรีธรรมราช!J628+นราธิวาส!J628+ปัตตานี!J628+พังงา!J628+พัทลุง!J628+ภูเก็ต!J628+ยะลา!J628+ระนอง!J628+สงขลา!J628+สตูล!J628+สุราษฎร์ธานี!J628</f>
        <v>16724211.5</v>
      </c>
      <c r="K628" s="348">
        <f t="shared" ref="K628:K635" ca="1" si="96">IF(I628&gt;0,J628*100/I628,0)</f>
        <v>91.489051122266744</v>
      </c>
      <c r="L628" s="348"/>
      <c r="M628" s="348"/>
      <c r="N628" s="348"/>
      <c r="O628" s="175"/>
      <c r="P628" s="175"/>
    </row>
    <row r="629" spans="1:16" ht="21.75" customHeight="1" x14ac:dyDescent="0.2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กระบี่!I629+ชุมพร!I629+ตรัง!I629+นครศรีธรรมราช!I629+นราธิวาส!I629+ปัตตานี!I629+พังงา!I629+พัทลุง!I629+ภูเก็ต!I629+ยะลา!I629+ระนอง!I629+สงขลา!I629+สตูล!I629+สุราษฎร์ธานี!I629</f>
        <v>1428</v>
      </c>
      <c r="J629" s="347">
        <f ca="1">กระบี่!J629+ชุมพร!J629+ตรัง!J629+นครศรีธรรมราช!J629+นราธิวาส!J629+ปัตตานี!J629+พังงา!J629+พัทลุง!J629+ภูเก็ต!J629+ยะลา!J629+ระนอง!J629+สงขลา!J629+สตูล!J629+สุราษฎร์ธานี!J629</f>
        <v>1327</v>
      </c>
      <c r="K629" s="348">
        <f t="shared" ca="1" si="96"/>
        <v>92.927170868347332</v>
      </c>
      <c r="L629" s="348"/>
      <c r="M629" s="348"/>
      <c r="N629" s="348"/>
      <c r="O629" s="175"/>
      <c r="P629" s="175"/>
    </row>
    <row r="630" spans="1:16" ht="21.75" customHeight="1" x14ac:dyDescent="0.2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กระบี่!I630+ชุมพร!I630+ตรัง!I630+นครศรีธรรมราช!I630+นราธิวาส!I630+ปัตตานี!I630+พังงา!I630+พัทลุง!I630+ภูเก็ต!I630+ยะลา!I630+ระนอง!I630+สงขลา!I630+สตูล!I630+สุราษฎร์ธานี!I630</f>
        <v>21245409.510000002</v>
      </c>
      <c r="J630" s="347">
        <f ca="1">กระบี่!J630+ชุมพร!J630+ตรัง!J630+นครศรีธรรมราช!J630+นราธิวาส!J630+ปัตตานี!J630+พังงา!J630+พัทลุง!J630+ภูเก็ต!J630+ยะลา!J630+ระนอง!J630+สงขลา!J630+สตูล!J630+สุราษฎร์ธานี!J630</f>
        <v>5963839.4299999997</v>
      </c>
      <c r="K630" s="348">
        <f t="shared" ca="1" si="96"/>
        <v>28.071190753903238</v>
      </c>
      <c r="L630" s="348"/>
      <c r="M630" s="348"/>
      <c r="N630" s="348"/>
      <c r="O630" s="175"/>
      <c r="P630" s="175"/>
    </row>
    <row r="631" spans="1:16" ht="21.75" customHeight="1" x14ac:dyDescent="0.2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กระบี่!I631+ชุมพร!I631+ตรัง!I631+นครศรีธรรมราช!I631+นราธิวาส!I631+ปัตตานี!I631+พังงา!I631+พัทลุง!I631+ภูเก็ต!I631+ยะลา!I631+ระนอง!I631+สงขลา!I631+สตูล!I631+สุราษฎร์ธานี!I631</f>
        <v>877</v>
      </c>
      <c r="J631" s="347">
        <f ca="1">กระบี่!J631+ชุมพร!J631+ตรัง!J631+นครศรีธรรมราช!J631+นราธิวาส!J631+ปัตตานี!J631+พังงา!J631+พัทลุง!J631+ภูเก็ต!J631+ยะลา!J631+ระนอง!J631+สงขลา!J631+สตูล!J631+สุราษฎร์ธานี!J631</f>
        <v>674</v>
      </c>
      <c r="K631" s="348">
        <f t="shared" ca="1" si="96"/>
        <v>76.852907639680723</v>
      </c>
      <c r="L631" s="348"/>
      <c r="M631" s="348"/>
      <c r="N631" s="348"/>
      <c r="O631" s="175"/>
      <c r="P631" s="175"/>
    </row>
    <row r="632" spans="1:16" ht="21.75" customHeight="1" x14ac:dyDescent="0.2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กระบี่!I632+ชุมพร!I632+ตรัง!I632+นครศรีธรรมราช!I632+นราธิวาส!I632+ปัตตานี!I632+พังงา!I632+พัทลุง!I632+ภูเก็ต!I632+ยะลา!I632+ระนอง!I632+สงขลา!I632+สตูล!I632+สุราษฎร์ธานี!I632</f>
        <v>196999.59999999998</v>
      </c>
      <c r="J632" s="347">
        <f ca="1">กระบี่!J632+ชุมพร!J632+ตรัง!J632+นครศรีธรรมราช!J632+นราธิวาส!J632+ปัตตานี!J632+พังงา!J632+พัทลุง!J632+ภูเก็ต!J632+ยะลา!J632+ระนอง!J632+สงขลา!J632+สตูล!J632+สุราษฎร์ธานี!J632</f>
        <v>253996.13999999998</v>
      </c>
      <c r="K632" s="348">
        <f t="shared" ca="1" si="96"/>
        <v>128.93231255291892</v>
      </c>
      <c r="L632" s="348"/>
      <c r="M632" s="348"/>
      <c r="N632" s="348"/>
      <c r="O632" s="175"/>
      <c r="P632" s="175"/>
    </row>
    <row r="633" spans="1:16" ht="21.75" customHeight="1" x14ac:dyDescent="0.2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กระบี่!I633+ชุมพร!I633+ตรัง!I633+นครศรีธรรมราช!I633+นราธิวาส!I633+ปัตตานี!I633+พังงา!I633+พัทลุง!I633+ภูเก็ต!I633+ยะลา!I633+ระนอง!I633+สงขลา!I633+สตูล!I633+สุราษฎร์ธานี!I633</f>
        <v>411</v>
      </c>
      <c r="J633" s="347">
        <f ca="1">กระบี่!J633+ชุมพร!J633+ตรัง!J633+นครศรีธรรมราช!J633+นราธิวาส!J633+ปัตตานี!J633+พังงา!J633+พัทลุง!J633+ภูเก็ต!J633+ยะลา!J633+ระนอง!J633+สงขลา!J633+สตูล!J633+สุราษฎร์ธานี!J633</f>
        <v>306</v>
      </c>
      <c r="K633" s="348">
        <f t="shared" ca="1" si="96"/>
        <v>74.452554744525543</v>
      </c>
      <c r="L633" s="348"/>
      <c r="M633" s="348"/>
      <c r="N633" s="348"/>
      <c r="O633" s="175"/>
      <c r="P633" s="175"/>
    </row>
    <row r="634" spans="1:16" ht="21.75" customHeight="1" x14ac:dyDescent="0.2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กระบี่!I634+ชุมพร!I634+ตรัง!I634+นครศรีธรรมราช!I634+นราธิวาส!I634+ปัตตานี!I634+พังงา!I634+พัทลุง!I634+ภูเก็ต!I634+ยะลา!I634+ระนอง!I634+สงขลา!I634+สตูล!I634+สุราษฎร์ธานี!I634</f>
        <v>18184000</v>
      </c>
      <c r="J634" s="347">
        <f ca="1">กระบี่!J634+ชุมพร!J634+ตรัง!J634+นครศรีธรรมราช!J634+นราธิวาส!J634+ปัตตานี!J634+พังงา!J634+พัทลุง!J634+ภูเก็ต!J634+ยะลา!J634+ระนอง!J634+สงขลา!J634+สตูล!J634+สุราษฎร์ธานี!J634</f>
        <v>17874000</v>
      </c>
      <c r="K634" s="348">
        <f t="shared" ca="1" si="96"/>
        <v>98.295204575450953</v>
      </c>
      <c r="L634" s="348"/>
      <c r="M634" s="348"/>
      <c r="N634" s="348"/>
      <c r="O634" s="175"/>
      <c r="P634" s="175"/>
    </row>
    <row r="635" spans="1:16" ht="21.75" customHeight="1" x14ac:dyDescent="0.25">
      <c r="A635" s="487"/>
      <c r="B635" s="489"/>
      <c r="C635" s="489"/>
      <c r="D635" s="488"/>
      <c r="E635" s="515"/>
      <c r="F635" s="515"/>
      <c r="G635" s="516"/>
      <c r="H635" s="517" t="s">
        <v>37</v>
      </c>
      <c r="I635" s="518">
        <f ca="1">กระบี่!I635+ชุมพร!I635+ตรัง!I635+นครศรีธรรมราช!I635+นราธิวาส!I635+ปัตตานี!I635+พังงา!I635+พัทลุง!I635+ภูเก็ต!I635+ยะลา!I635+ระนอง!I635+สงขลา!I635+สตูล!I635+สุราษฎร์ธานี!I635</f>
        <v>359</v>
      </c>
      <c r="J635" s="518">
        <f ca="1">กระบี่!J635+ชุมพร!J635+ตรัง!J635+นครศรีธรรมราช!J635+นราธิวาส!J635+ปัตตานี!J635+พังงา!J635+พัทลุง!J635+ภูเก็ต!J635+ยะลา!J635+ระนอง!J635+สงขลา!J635+สตูล!J635+สุราษฎร์ธานี!J635</f>
        <v>443</v>
      </c>
      <c r="K635" s="493">
        <f t="shared" ca="1" si="96"/>
        <v>123.3983286908078</v>
      </c>
      <c r="L635" s="493"/>
      <c r="M635" s="493"/>
      <c r="N635" s="493"/>
      <c r="O635" s="519"/>
      <c r="P635" s="519"/>
    </row>
    <row r="636" spans="1:16" ht="21.75" customHeight="1" x14ac:dyDescent="0.3">
      <c r="A636" s="520"/>
      <c r="B636" s="599" t="s">
        <v>237</v>
      </c>
      <c r="C636" s="600"/>
      <c r="D636" s="600"/>
      <c r="E636" s="600"/>
      <c r="F636" s="600"/>
      <c r="G636" s="600"/>
      <c r="H636" s="521"/>
      <c r="I636" s="521"/>
      <c r="J636" s="521"/>
      <c r="K636" s="522"/>
      <c r="L636" s="523">
        <f ca="1">SUM(L637,L638)</f>
        <v>13645</v>
      </c>
      <c r="M636" s="524"/>
      <c r="N636" s="523">
        <f ca="1">SUM(N637:N638)</f>
        <v>13395</v>
      </c>
      <c r="O636" s="523">
        <f t="shared" ref="O636:O640" ca="1" si="97">+IF(L636&gt;0,N636*100/L636,0)</f>
        <v>98.167827042872844</v>
      </c>
      <c r="P636" s="523"/>
    </row>
    <row r="637" spans="1:16" ht="21.75" customHeight="1" x14ac:dyDescent="0.3">
      <c r="A637" s="525"/>
      <c r="B637" s="526"/>
      <c r="C637" s="527" t="s">
        <v>16</v>
      </c>
      <c r="D637" s="601" t="s">
        <v>77</v>
      </c>
      <c r="E637" s="575"/>
      <c r="F637" s="575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97"/>
        <v>0</v>
      </c>
      <c r="P637" s="535"/>
    </row>
    <row r="638" spans="1:16" ht="21.75" customHeight="1" x14ac:dyDescent="0.3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13645</v>
      </c>
      <c r="M638" s="534"/>
      <c r="N638" s="535">
        <f ca="1">SUM(N639:N640)</f>
        <v>13395</v>
      </c>
      <c r="O638" s="535">
        <f t="shared" ca="1" si="97"/>
        <v>98.167827042872844</v>
      </c>
      <c r="P638" s="535"/>
    </row>
    <row r="639" spans="1:16" ht="21.75" customHeight="1" x14ac:dyDescent="0.3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97"/>
        <v>0</v>
      </c>
      <c r="P639" s="535"/>
    </row>
    <row r="640" spans="1:16" ht="21.75" customHeight="1" x14ac:dyDescent="0.3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13645</v>
      </c>
      <c r="M640" s="534"/>
      <c r="N640" s="535">
        <f ca="1">SUM(N641:N644)</f>
        <v>13395</v>
      </c>
      <c r="O640" s="535">
        <f t="shared" ca="1" si="97"/>
        <v>98.167827042872844</v>
      </c>
      <c r="P640" s="535"/>
    </row>
    <row r="641" spans="1:16" ht="21.75" customHeight="1" x14ac:dyDescent="0.3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3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3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3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13395</v>
      </c>
      <c r="O644" s="537"/>
      <c r="P644" s="537"/>
    </row>
    <row r="645" spans="1:16" ht="21.75" customHeight="1" x14ac:dyDescent="0.3">
      <c r="A645" s="539"/>
      <c r="B645" s="540"/>
      <c r="C645" s="527" t="s">
        <v>16</v>
      </c>
      <c r="D645" s="602" t="s">
        <v>242</v>
      </c>
      <c r="E645" s="575"/>
      <c r="F645" s="575"/>
      <c r="G645" s="575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3">
      <c r="A646" s="539"/>
      <c r="B646" s="540"/>
      <c r="C646" s="540"/>
      <c r="D646" s="541">
        <v>1</v>
      </c>
      <c r="E646" s="603" t="s">
        <v>44</v>
      </c>
      <c r="F646" s="575"/>
      <c r="G646" s="575"/>
      <c r="H646" s="536"/>
      <c r="I646" s="542"/>
      <c r="J646" s="543">
        <f ca="1">กระบี่!J646+ชุมพร!J646+ตรัง!J646+นครศรีธรรมราช!J646+นราธิวาส!J646+ปัตตานี!J646+พังงา!J646+พัทลุง!J646+ภูเก็ต!J646+ยะลา!J646+ระนอง!J646+สงขลา!J646+สตูล!J646+สุราษฎร์ธานี!J646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3">
      <c r="A647" s="539"/>
      <c r="B647" s="540"/>
      <c r="C647" s="540"/>
      <c r="D647" s="545">
        <v>2</v>
      </c>
      <c r="E647" s="604" t="s">
        <v>243</v>
      </c>
      <c r="F647" s="575"/>
      <c r="G647" s="575"/>
      <c r="H647" s="536"/>
      <c r="I647" s="542"/>
      <c r="J647" s="543">
        <f ca="1">กระบี่!J647+ชุมพร!J647+ตรัง!J647+นครศรีธรรมราช!J647+นราธิวาส!J647+ปัตตานี!J647+พังงา!J647+พัทลุง!J647+ภูเก็ต!J647+ยะลา!J647+ระนอง!J647+สงขลา!J647+สตูล!J647+สุราษฎร์ธานี!J647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3">
      <c r="A648" s="525"/>
      <c r="B648" s="526"/>
      <c r="C648" s="526"/>
      <c r="D648" s="526"/>
      <c r="E648" s="526"/>
      <c r="F648" s="598" t="s">
        <v>244</v>
      </c>
      <c r="G648" s="575"/>
      <c r="H648" s="529" t="s">
        <v>122</v>
      </c>
      <c r="I648" s="546">
        <f ca="1">กระบี่!I648+ชุมพร!I648+ตรัง!I648+นครศรีธรรมราช!I648+นราธิวาส!I648+ปัตตานี!I648+พังงา!I648+พัทลุง!I648+ภูเก็ต!I648+ยะลา!I648+ระนอง!I648+สงขลา!I648+สตูล!I648+สุราษฎร์ธานี!I648</f>
        <v>63</v>
      </c>
      <c r="J648" s="547">
        <f ca="1">กระบี่!J648+ชุมพร!J648+ตรัง!J648+นครศรีธรรมราช!J648+นราธิวาส!J648+ปัตตานี!J648+พังงา!J648+พัทลุง!J648+ภูเก็ต!J648+ยะลา!J648+ระนอง!J648+สงขลา!J648+สตูล!J648+สุราษฎร์ธานี!J648</f>
        <v>64</v>
      </c>
      <c r="K648" s="548">
        <f t="shared" ref="K648:K651" ca="1" si="98">IF(I648&gt;0,J648*100/I648,0)</f>
        <v>101.58730158730158</v>
      </c>
      <c r="L648" s="535">
        <f ca="1">กระบี่!L648+ชุมพร!L648+ตรัง!L648+นครศรีธรรมราช!L648+นราธิวาส!L648+ปัตตานี!L648+พังงา!L648+พัทลุง!L648+ภูเก็ต!L648+ยะลา!L648+ระนอง!L648+สงขลา!L648+สตูล!L648+สุราษฎร์ธานี!L648</f>
        <v>7875</v>
      </c>
      <c r="M648" s="534"/>
      <c r="N648" s="549">
        <f ca="1">กระบี่!N648+ชุมพร!N648+ตรัง!N648+นครศรีธรรมราช!N648+นราธิวาส!N648+ปัตตานี!N648+พังงา!N648+พัทลุง!N648+ภูเก็ต!N648+ยะลา!N648+ระนอง!N648+สงขลา!N648+สตูล!N648+สุราษฎร์ธานี!N648</f>
        <v>7875</v>
      </c>
      <c r="O648" s="548">
        <f t="shared" ref="O648:O651" ca="1" si="99">IF(L648&gt;0,N648*100/L648,0)</f>
        <v>100</v>
      </c>
      <c r="P648" s="548"/>
    </row>
    <row r="649" spans="1:16" ht="21.75" customHeight="1" x14ac:dyDescent="0.3">
      <c r="A649" s="525"/>
      <c r="B649" s="526"/>
      <c r="C649" s="526"/>
      <c r="D649" s="526"/>
      <c r="E649" s="526"/>
      <c r="F649" s="598" t="s">
        <v>245</v>
      </c>
      <c r="G649" s="575"/>
      <c r="H649" s="529" t="s">
        <v>37</v>
      </c>
      <c r="I649" s="546">
        <f ca="1">กระบี่!I649+ชุมพร!I649+ตรัง!I649+นครศรีธรรมราช!I649+นราธิวาส!I649+ปัตตานี!I649+พังงา!I649+พัทลุง!I649+ภูเก็ต!I649+ยะลา!I649+ระนอง!I649+สงขลา!I649+สตูล!I649+สุราษฎร์ธานี!I649</f>
        <v>46</v>
      </c>
      <c r="J649" s="547">
        <f ca="1">กระบี่!J649+ชุมพร!J649+ตรัง!J649+นครศรีธรรมราช!J649+นราธิวาส!J649+ปัตตานี!J649+พังงา!J649+พัทลุง!J649+ภูเก็ต!J649+ยะลา!J649+ระนอง!J649+สงขลา!J649+สตูล!J649+สุราษฎร์ธานี!J649</f>
        <v>46</v>
      </c>
      <c r="K649" s="548">
        <f t="shared" ca="1" si="98"/>
        <v>100</v>
      </c>
      <c r="L649" s="535">
        <f ca="1">กระบี่!L649+ชุมพร!L649+ตรัง!L649+นครศรีธรรมราช!L649+นราธิวาส!L649+ปัตตานี!L649+พังงา!L649+พัทลุง!L649+ภูเก็ต!L649+ยะลา!L649+ระนอง!L649+สงขลา!L649+สตูล!L649+สุราษฎร์ธานี!L649</f>
        <v>5520</v>
      </c>
      <c r="M649" s="534"/>
      <c r="N649" s="549">
        <f ca="1">กระบี่!N649+ชุมพร!N649+ตรัง!N649+นครศรีธรรมราช!N649+นราธิวาส!N649+ปัตตานี!N649+พังงา!N649+พัทลุง!N649+ภูเก็ต!N649+ยะลา!N649+ระนอง!N649+สงขลา!N649+สตูล!N649+สุราษฎร์ธานี!N649</f>
        <v>5520</v>
      </c>
      <c r="O649" s="548">
        <f t="shared" ca="1" si="99"/>
        <v>100</v>
      </c>
      <c r="P649" s="548"/>
    </row>
    <row r="650" spans="1:16" ht="21.75" customHeight="1" x14ac:dyDescent="0.3">
      <c r="A650" s="525"/>
      <c r="B650" s="526"/>
      <c r="C650" s="526"/>
      <c r="D650" s="526"/>
      <c r="E650" s="526"/>
      <c r="F650" s="598" t="s">
        <v>246</v>
      </c>
      <c r="G650" s="575"/>
      <c r="H650" s="529" t="s">
        <v>122</v>
      </c>
      <c r="I650" s="546">
        <f ca="1">กระบี่!I650+ชุมพร!I650+ตรัง!I650+นครศรีธรรมราช!I650+นราธิวาส!I650+ปัตตานี!I650+พังงา!I650+พัทลุง!I650+ภูเก็ต!I650+ยะลา!I650+ระนอง!I650+สงขลา!I650+สตูล!I650+สุราษฎร์ธานี!I650</f>
        <v>50</v>
      </c>
      <c r="J650" s="547">
        <f ca="1">กระบี่!J650+ชุมพร!J650+ตรัง!J650+นครศรีธรรมราช!J650+นราธิวาส!J650+ปัตตานี!J650+พังงา!J650+พัทลุง!J650+ภูเก็ต!J650+ยะลา!J650+ระนอง!J650+สงขลา!J650+สตูล!J650+สุราษฎร์ธานี!J650</f>
        <v>0</v>
      </c>
      <c r="K650" s="548">
        <f t="shared" ca="1" si="98"/>
        <v>0</v>
      </c>
      <c r="L650" s="535">
        <f ca="1">กระบี่!L650+ชุมพร!L650+ตรัง!L650+นครศรีธรรมราช!L650+นราธิวาส!L650+ปัตตานี!L650+พังงา!L650+พัทลุง!L650+ภูเก็ต!L650+ยะลา!L650+ระนอง!L650+สงขลา!L650+สตูล!L650+สุราษฎร์ธานี!L650</f>
        <v>250</v>
      </c>
      <c r="M650" s="534"/>
      <c r="N650" s="549">
        <f ca="1">กระบี่!N650+ชุมพร!N650+ตรัง!N650+นครศรีธรรมราช!N650+นราธิวาส!N650+ปัตตานี!N650+พังงา!N650+พัทลุง!N650+ภูเก็ต!N650+ยะลา!N650+ระนอง!N650+สงขลา!N650+สตูล!N650+สุราษฎร์ธานี!N650</f>
        <v>0</v>
      </c>
      <c r="O650" s="548">
        <f t="shared" ca="1" si="99"/>
        <v>0</v>
      </c>
      <c r="P650" s="548"/>
    </row>
    <row r="651" spans="1:16" ht="21.75" customHeight="1" x14ac:dyDescent="0.3">
      <c r="A651" s="525"/>
      <c r="B651" s="526"/>
      <c r="C651" s="526"/>
      <c r="D651" s="526"/>
      <c r="E651" s="526"/>
      <c r="F651" s="598" t="s">
        <v>247</v>
      </c>
      <c r="G651" s="575"/>
      <c r="H651" s="529" t="s">
        <v>122</v>
      </c>
      <c r="I651" s="546">
        <f ca="1">กระบี่!I651+ชุมพร!I651+ตรัง!I651+นครศรีธรรมราช!I651+นราธิวาส!I651+ปัตตานี!I651+พังงา!I651+พัทลุง!I651+ภูเก็ต!I651+ยะลา!I651+ระนอง!I651+สงขลา!I651+สตูล!I651+สุราษฎร์ธานี!I651</f>
        <v>0</v>
      </c>
      <c r="J651" s="547">
        <f ca="1">J657+J660</f>
        <v>0</v>
      </c>
      <c r="K651" s="548">
        <f t="shared" ca="1" si="98"/>
        <v>0</v>
      </c>
      <c r="L651" s="535">
        <f ca="1">กระบี่!L651+ชุมพร!L651+ตรัง!L651+นครศรีธรรมราช!L651+นราธิวาส!L651+ปัตตานี!L651+พังงา!L651+พัทลุง!L651+ภูเก็ต!L651+ยะลา!L651+ระนอง!L651+สงขลา!L651+สตูล!L651+สุราษฎร์ธานี!L651</f>
        <v>0</v>
      </c>
      <c r="M651" s="534"/>
      <c r="N651" s="549">
        <f ca="1">กระบี่!N651+ชุมพร!N651+ตรัง!N651+นครศรีธรรมราช!N651+นราธิวาส!N651+ปัตตานี!N651+พังงา!N651+พัทลุง!N651+ภูเก็ต!N651+ยะลา!N651+ระนอง!N651+สงขลา!N651+สตูล!N651+สุราษฎร์ธานี!N651</f>
        <v>0</v>
      </c>
      <c r="O651" s="548">
        <f t="shared" ca="1" si="99"/>
        <v>0</v>
      </c>
      <c r="P651" s="548"/>
    </row>
    <row r="652" spans="1:16" ht="21.75" customHeight="1" x14ac:dyDescent="0.3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กระบี่!J652+ชุมพร!J652+ตรัง!J652+นครศรีธรรมราช!J652+นราธิวาส!J652+ปัตตานี!J652+พังงา!J652+พัทลุง!J652+ภูเก็ต!J652+ยะลา!J652+ระนอง!J652+สงขลา!J652+สตูล!J652+สุราษฎร์ธานี!J652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3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กระบี่!J653+ชุมพร!J653+ตรัง!J653+นครศรีธรรมราช!J653+นราธิวาส!J653+ปัตตานี!J653+พังงา!J653+พัทลุง!J653+ภูเก็ต!J653+ยะลา!J653+ระนอง!J653+สงขลา!J653+สตูล!J653+สุราษฎร์ธานี!J653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3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3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กระบี่!J655+ชุมพร!J655+ตรัง!J655+นครศรีธรรมราช!J655+นราธิวาส!J655+ปัตตานี!J655+พังงา!J655+พัทลุง!J655+ภูเก็ต!J655+ยะลา!J655+ระนอง!J655+สงขลา!J655+สตูล!J655+สุราษฎร์ธานี!J655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3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กระบี่!J656+ชุมพร!J656+ตรัง!J656+นครศรีธรรมราช!J656+นราธิวาส!J656+ปัตตานี!J656+พังงา!J656+พัทลุง!J656+ภูเก็ต!J656+ยะลา!J656+ระนอง!J656+สงขลา!J656+สตูล!J656+สุราษฎร์ธานี!J656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3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กระบี่!J657+ชุมพร!J657+ตรัง!J657+นครศรีธรรมราช!J657+นราธิวาส!J657+ปัตตานี!J657+พังงา!J657+พัทลุง!J657+ภูเก็ต!J657+ยะลา!J657+ระนอง!J657+สงขลา!J657+สตูล!J657+สุราษฎร์ธานี!J657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3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กระบี่!J658+ชุมพร!J658+ตรัง!J658+นครศรีธรรมราช!J658+นราธิวาส!J658+ปัตตานี!J658+พังงา!J658+พัทลุง!J658+ภูเก็ต!J658+ยะลา!J658+ระนอง!J658+สงขลา!J658+สตูล!J658+สุราษฎร์ธานี!J658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3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กระบี่!J659+ชุมพร!J659+ตรัง!J659+นครศรีธรรมราช!J659+นราธิวาส!J659+ปัตตานี!J659+พังงา!J659+พัทลุง!J659+ภูเก็ต!J659+ยะลา!J659+ระนอง!J659+สงขลา!J659+สตูล!J659+สุราษฎร์ธานี!J659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3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กระบี่!J660+ชุมพร!J660+ตรัง!J660+นครศรีธรรมราช!J660+นราธิวาส!J660+ปัตตานี!J660+พังงา!J660+พัทลุง!J660+ภูเก็ต!J660+ยะลา!J660+ระนอง!J660+สงขลา!J660+สตูล!J660+สุราษฎร์ธานี!J660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3">
      <c r="A661" s="525"/>
      <c r="B661" s="526"/>
      <c r="C661" s="526"/>
      <c r="D661" s="526"/>
      <c r="E661" s="526"/>
      <c r="F661" s="598" t="s">
        <v>252</v>
      </c>
      <c r="G661" s="575"/>
      <c r="H661" s="529" t="s">
        <v>37</v>
      </c>
      <c r="I661" s="550"/>
      <c r="J661" s="547">
        <f ca="1">กระบี่!J661+ชุมพร!J661+ตรัง!J661+นครศรีธรรมราช!J661+นราธิวาส!J661+ปัตตานี!J661+พังงา!J661+พัทลุง!J661+ภูเก็ต!J661+ยะลา!J661+ระนอง!J661+สงขลา!J661+สตูล!J661+สุราษฎร์ธานี!J661</f>
        <v>0</v>
      </c>
      <c r="K661" s="548"/>
      <c r="L661" s="535">
        <f ca="1">กระบี่!L661+ชุมพร!L661+ตรัง!L661+นครศรีธรรมราช!L661+นราธิวาส!L661+ปัตตานี!L661+พังงา!L661+พัทลุง!L661+ภูเก็ต!L661+ยะลา!L661+ระนอง!L661+สงขลา!L661+สตูล!L661+สุราษฎร์ธานี!L661</f>
        <v>0</v>
      </c>
      <c r="M661" s="534"/>
      <c r="N661" s="549">
        <f ca="1">กระบี่!N661+ชุมพร!N661+ตรัง!N661+นครศรีธรรมราช!N661+นราธิวาส!N661+ปัตตานี!N661+พังงา!N661+พัทลุง!N661+ภูเก็ต!N661+ยะลา!N661+ระนอง!N661+สงขลา!N661+สตูล!N661+สุราษฎร์ธานี!N661</f>
        <v>0</v>
      </c>
      <c r="O661" s="548">
        <f ca="1">IF(L661&gt;0,N661*100/L661,0)</f>
        <v>0</v>
      </c>
      <c r="P661" s="548"/>
    </row>
    <row r="662" spans="1:16" ht="21.75" customHeight="1" x14ac:dyDescent="0.3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กระบี่!J662+ชุมพร!J662+ตรัง!J662+นครศรีธรรมราช!J662+นราธิวาส!J662+ปัตตานี!J662+พังงา!J662+พัทลุง!J662+ภูเก็ต!J662+ยะลา!J662+ระนอง!J662+สงขลา!J662+สตูล!J662+สุราษฎร์ธานี!J662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3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กระบี่!I663+ชุมพร!I663+ตรัง!I663+นครศรีธรรมราช!I663+นราธิวาส!I663+ปัตตานี!I663+พังงา!I663+พัทลุง!I663+ภูเก็ต!I663+ยะลา!I663+ระนอง!I663+สงขลา!I663+สตูล!I663+สุราษฎร์ธานี!I663</f>
        <v>0</v>
      </c>
      <c r="J663" s="547">
        <f ca="1">กระบี่!J663+ชุมพร!J663+ตรัง!J663+นครศรีธรรมราช!J663+นราธิวาส!J663+ปัตตานี!J663+พังงา!J663+พัทลุง!J663+ภูเก็ต!J663+ยะลา!J663+ระนอง!J663+สงขลา!J663+สตูล!J663+สุราษฎร์ธานี!J663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3">
      <c r="A664" s="525"/>
      <c r="B664" s="526"/>
      <c r="C664" s="526"/>
      <c r="D664" s="526"/>
      <c r="E664" s="526"/>
      <c r="F664" s="598" t="s">
        <v>253</v>
      </c>
      <c r="G664" s="575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3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กระบี่!I665+ชุมพร!I665+ตรัง!I665+นครศรีธรรมราช!I665+นราธิวาส!I665+ปัตตานี!I665+พังงา!I665+พัทลุง!I665+ภูเก็ต!I665+ยะลา!I665+ระนอง!I665+สงขลา!I665+สตูล!I665+สุราษฎร์ธานี!I665</f>
        <v>0</v>
      </c>
      <c r="J665" s="547">
        <f ca="1">กระบี่!J665+ชุมพร!J665+ตรัง!J665+นครศรีธรรมราช!J665+นราธิวาส!J665+ปัตตานี!J665+พังงา!J665+พัทลุง!J665+ภูเก็ต!J665+ยะลา!J665+ระนอง!J665+สงขลา!J665+สตูล!J665+สุราษฎร์ธานี!J665</f>
        <v>0</v>
      </c>
      <c r="K665" s="548">
        <f ca="1">IF(I665&gt;0,J665*100/I665,0)</f>
        <v>0</v>
      </c>
      <c r="L665" s="535">
        <f ca="1">กระบี่!L665+ชุมพร!L665+ตรัง!L665+นครศรีธรรมราช!L665+นราธิวาส!L665+ปัตตานี!L665+พังงา!L665+พัทลุง!L665+ภูเก็ต!L665+ยะลา!L665+ระนอง!L665+สงขลา!L665+สตูล!L665+สุราษฎร์ธานี!L665</f>
        <v>0</v>
      </c>
      <c r="M665" s="534"/>
      <c r="N665" s="549">
        <f ca="1">กระบี่!N665+ชุมพร!N665+ตรัง!N665+นครศรีธรรมราช!N665+นราธิวาส!N665+ปัตตานี!N665+พังงา!N665+พัทลุง!N665+ภูเก็ต!N665+ยะลา!N665+ระนอง!N665+สงขลา!N665+สตูล!N665+สุราษฎร์ธานี!N665</f>
        <v>0</v>
      </c>
      <c r="O665" s="548">
        <f ca="1">IF(L665&gt;0,N665*100/L665,0)</f>
        <v>0</v>
      </c>
      <c r="P665" s="548"/>
    </row>
    <row r="666" spans="1:16" ht="21.75" customHeight="1" x14ac:dyDescent="0.3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กระบี่!J666+ชุมพร!J666+ตรัง!J666+นครศรีธรรมราช!J666+นราธิวาส!J666+ปัตตานี!J666+พังงา!J666+พัทลุง!J666+ภูเก็ต!J666+ยะลา!J666+ระนอง!J666+สงขลา!J666+สตูล!J666+สุราษฎร์ธานี!J666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3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กระบี่!J667+ชุมพร!J667+ตรัง!J667+นครศรีธรรมราช!J667+นราธิวาส!J667+ปัตตานี!J667+พังงา!J667+พัทลุง!J667+ภูเก็ต!J667+ยะลา!J667+ระนอง!J667+สงขลา!J667+สตูล!J667+สุราษฎร์ธานี!J667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3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กระบี่!I668+ชุมพร!I668+ตรัง!I668+นครศรีธรรมราช!I668+นราธิวาส!I668+ปัตตานี!I668+พังงา!I668+พัทลุง!I668+ภูเก็ต!I668+ยะลา!I668+ระนอง!I668+สงขลา!I668+สตูล!I668+สุราษฎร์ธานี!I668</f>
        <v>0</v>
      </c>
      <c r="J668" s="547">
        <f ca="1">กระบี่!J668+ชุมพร!J668+ตรัง!J668+นครศรีธรรมราช!J668+นราธิวาส!J668+ปัตตานี!J668+พังงา!J668+พัทลุง!J668+ภูเก็ต!J668+ยะลา!J668+ระนอง!J668+สงขลา!J668+สตูล!J668+สุราษฎร์ธานี!J668</f>
        <v>0</v>
      </c>
      <c r="K668" s="548">
        <f ca="1">IF(I668&gt;0,J668*100/I668,0)</f>
        <v>0</v>
      </c>
      <c r="L668" s="535">
        <f ca="1">กระบี่!L668+ชุมพร!L668+ตรัง!L668+นครศรีธรรมราช!L668+นราธิวาส!L668+ปัตตานี!L668+พังงา!L668+พัทลุง!L668+ภูเก็ต!L668+ยะลา!L668+ระนอง!L668+สงขลา!L668+สตูล!L668+สุราษฎร์ธานี!L668</f>
        <v>0</v>
      </c>
      <c r="M668" s="534"/>
      <c r="N668" s="549">
        <f ca="1">กระบี่!N668+ชุมพร!N668+ตรัง!N668+นครศรีธรรมราช!N668+นราธิวาส!N668+ปัตตานี!N668+พังงา!N668+พัทลุง!N668+ภูเก็ต!N668+ยะลา!N668+ระนอง!N668+สงขลา!N668+สตูล!N668+สุราษฎร์ธานี!N668</f>
        <v>0</v>
      </c>
      <c r="O668" s="548">
        <f ca="1">IF(L668&gt;0,N668*100/L668,0)</f>
        <v>0</v>
      </c>
      <c r="P668" s="548"/>
    </row>
    <row r="669" spans="1:16" ht="21.75" customHeight="1" x14ac:dyDescent="0.3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IFERROR(__xludf.DUMMYFUNCTION("IMPORTRANGE(""https://docs.google.com/spreadsheets/d/1IYY_tgx_IHuhSq3AJ5eI5OnqOPBNLWSHKh2a30DoXe8/edit?usp=sharing"",""กระบี่!J564"")"),0)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3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IFERROR(__xludf.DUMMYFUNCTION("IMPORTRANGE(""https://docs.google.com/spreadsheets/d/1IYY_tgx_IHuhSq3AJ5eI5OnqOPBNLWSHKh2a30DoXe8/edit?usp=sharing"",""กระบี่!J565"")"),0)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3">
      <c r="A671" s="525"/>
      <c r="B671" s="526"/>
      <c r="C671" s="526"/>
      <c r="D671" s="526"/>
      <c r="E671" s="526"/>
      <c r="F671" s="598" t="s">
        <v>256</v>
      </c>
      <c r="G671" s="575"/>
      <c r="H671" s="529" t="s">
        <v>122</v>
      </c>
      <c r="I671" s="546">
        <f ca="1">กระบี่!I671+ชุมพร!I671+ตรัง!I671+นครศรีธรรมราช!I671+นราธิวาส!I671+ปัตตานี!I671+พังงา!I671+พัทลุง!I671+ภูเก็ต!I671+ยะลา!I671+ระนอง!I671+สงขลา!I671+สตูล!I671+สุราษฎร์ธานี!I671</f>
        <v>0</v>
      </c>
      <c r="J671" s="547">
        <f ca="1">J674+J677</f>
        <v>0</v>
      </c>
      <c r="K671" s="548">
        <f ca="1">IF(I671&gt;0,J671*100/I671,0)</f>
        <v>0</v>
      </c>
      <c r="L671" s="535">
        <f ca="1">กระบี่!L671+ชุมพร!L671+ตรัง!L671+นครศรีธรรมราช!L671+นราธิวาส!L671+ปัตตานี!L671+พังงา!L671+พัทลุง!L671+ภูเก็ต!L671+ยะลา!L671+ระนอง!L671+สงขลา!L671+สตูล!L671+สุราษฎร์ธานี!L671</f>
        <v>0</v>
      </c>
      <c r="M671" s="534"/>
      <c r="N671" s="549">
        <f ca="1">กระบี่!N671+ชุมพร!N671+ตรัง!N671+นครศรีธรรมราช!N671+นราธิวาส!N671+ปัตตานี!N671+พังงา!N671+พัทลุง!N671+ภูเก็ต!N671+ยะลา!N671+ระนอง!N671+สงขลา!N671+สตูล!N671+สุราษฎร์ธานี!N671</f>
        <v>0</v>
      </c>
      <c r="O671" s="548">
        <f ca="1">IF(L671&gt;0,N671*100/L671,0)</f>
        <v>0</v>
      </c>
      <c r="P671" s="548"/>
    </row>
    <row r="672" spans="1:16" ht="21.75" customHeight="1" x14ac:dyDescent="0.3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กระบี่!J672+ชุมพร!J672+ตรัง!J672+นครศรีธรรมราช!J672+นราธิวาส!J672+ปัตตานี!J672+พังงา!J672+พัทลุง!J672+ภูเก็ต!J672+ยะลา!J672+ระนอง!J672+สงขลา!J672+สตูล!J672+สุราษฎร์ธานี!J672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3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กระบี่!J673+ชุมพร!J673+ตรัง!J673+นครศรีธรรมราช!J673+นราธิวาส!J673+ปัตตานี!J673+พังงา!J673+พัทลุง!J673+ภูเก็ต!J673+ยะลา!J673+ระนอง!J673+สงขลา!J673+สตูล!J673+สุราษฎร์ธานี!J673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3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กระบี่!J674+ชุมพร!J674+ตรัง!J674+นครศรีธรรมราช!J674+นราธิวาส!J674+ปัตตานี!J674+พังงา!J674+พัทลุง!J674+ภูเก็ต!J674+ยะลา!J674+ระนอง!J674+สงขลา!J674+สตูล!J674+สุราษฎร์ธานี!J674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3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กระบี่!J675+ชุมพร!J675+ตรัง!J675+นครศรีธรรมราช!J675+นราธิวาส!J675+ปัตตานี!J675+พังงา!J675+พัทลุง!J675+ภูเก็ต!J675+ยะลา!J675+ระนอง!J675+สงขลา!J675+สตูล!J675+สุราษฎร์ธานี!J675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3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กระบี่!J676+ชุมพร!J676+ตรัง!J676+นครศรีธรรมราช!J676+นราธิวาส!J676+ปัตตานี!J676+พังงา!J676+พัทลุง!J676+ภูเก็ต!J676+ยะลา!J676+ระนอง!J676+สงขลา!J676+สตูล!J676+สุราษฎร์ธานี!J676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3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กระบี่!J677+ชุมพร!J677+ตรัง!J677+นครศรีธรรมราช!J677+นราธิวาส!J677+ปัตตานี!J677+พังงา!J677+พัทลุง!J677+ภูเก็ต!J677+ยะลา!J677+ระนอง!J677+สงขลา!J677+สตูล!J677+สุราษฎร์ธานี!J677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2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2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2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2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2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2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2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2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2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2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2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2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2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2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2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2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2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2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2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2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2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2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2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2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2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2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2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2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2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2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2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2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2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2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2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2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2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2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2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2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2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2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2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2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2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2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2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2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2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2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2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2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2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2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2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2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2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2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2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2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2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2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2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2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2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2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2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2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2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2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2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2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2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2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2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2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2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2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2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2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2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2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2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2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2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2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2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2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2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2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2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2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2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2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2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2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2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2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2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2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2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2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2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2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2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2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2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2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2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2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2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2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2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2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2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2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2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2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2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2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2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2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2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2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2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2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2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2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2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2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2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2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2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2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2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2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2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2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2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2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2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2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2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2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2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2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2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2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2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2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2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2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2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2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2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2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2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2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2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2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2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2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2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2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2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2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2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2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2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2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2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2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2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2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2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2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2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2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2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2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2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2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2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2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2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2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2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2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2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2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2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2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2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2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2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2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2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2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2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2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2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2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2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2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2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2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2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2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2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2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2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2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2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2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2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2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2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2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2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2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2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2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2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2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2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2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2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2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2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2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2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2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2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2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2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2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2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2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2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2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2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2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2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2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2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2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2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2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2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2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2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2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2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2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2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2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2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2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2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2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2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2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2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2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2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2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2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2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2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2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2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2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2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2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2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2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2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2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2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2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2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2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2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2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2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2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2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2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2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2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2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2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2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2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2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2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2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2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2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2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2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2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2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2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2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2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2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2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2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2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2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2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2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2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2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2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2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2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2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2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2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2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2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2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2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2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2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2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2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2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2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2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2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2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2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2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2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2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2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2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2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2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2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2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2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2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2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2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2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2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2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2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2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2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2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2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2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2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2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2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2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2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2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2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2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2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2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2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2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2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2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2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2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2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2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2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2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2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2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2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2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2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2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2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2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2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2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2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2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2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2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2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2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2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2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2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2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2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2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2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2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2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2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2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2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2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2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2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2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2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2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2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2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2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2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2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2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2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2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2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2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2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2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2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2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2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2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2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2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2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2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2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2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2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2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2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2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2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2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2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2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2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2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2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2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2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2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2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2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2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2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2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2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2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2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2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2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2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2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2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2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2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2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2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2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2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19685039370078741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32" max="16383" man="1"/>
    <brk id="626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86" t="s">
        <v>0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  <c r="N1" s="586"/>
      <c r="O1" s="586"/>
      <c r="P1" s="586"/>
    </row>
    <row r="2" spans="1:16" ht="18" customHeight="1" x14ac:dyDescent="0.25">
      <c r="A2" s="586" t="s">
        <v>278</v>
      </c>
      <c r="B2" s="586"/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86"/>
      <c r="P2" s="586"/>
    </row>
    <row r="3" spans="1:16" ht="18" customHeight="1" x14ac:dyDescent="0.25">
      <c r="A3" s="586" t="s">
        <v>290</v>
      </c>
      <c r="B3" s="586"/>
      <c r="C3" s="586"/>
      <c r="D3" s="586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  <c r="P3" s="586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2" t="s">
        <v>2</v>
      </c>
      <c r="B5" s="593"/>
      <c r="C5" s="593"/>
      <c r="D5" s="593"/>
      <c r="E5" s="593"/>
      <c r="F5" s="593"/>
      <c r="G5" s="594"/>
      <c r="H5" s="587" t="s">
        <v>3</v>
      </c>
      <c r="I5" s="589" t="s">
        <v>4</v>
      </c>
      <c r="J5" s="580"/>
      <c r="K5" s="581"/>
      <c r="L5" s="590" t="s">
        <v>5</v>
      </c>
      <c r="M5" s="581"/>
      <c r="N5" s="591" t="s">
        <v>6</v>
      </c>
      <c r="O5" s="580"/>
      <c r="P5" s="581"/>
    </row>
    <row r="6" spans="1:16" ht="21.75" customHeight="1" x14ac:dyDescent="0.25">
      <c r="A6" s="595"/>
      <c r="B6" s="596"/>
      <c r="C6" s="596"/>
      <c r="D6" s="596"/>
      <c r="E6" s="596"/>
      <c r="F6" s="596"/>
      <c r="G6" s="597"/>
      <c r="H6" s="58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5" t="s">
        <v>15</v>
      </c>
      <c r="B7" s="580"/>
      <c r="C7" s="580"/>
      <c r="D7" s="580"/>
      <c r="E7" s="580"/>
      <c r="F7" s="580"/>
      <c r="G7" s="58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4" t="s">
        <v>17</v>
      </c>
      <c r="E8" s="573"/>
      <c r="F8" s="573"/>
      <c r="G8" s="573"/>
      <c r="H8" s="20" t="s">
        <v>12</v>
      </c>
      <c r="I8" s="21"/>
      <c r="J8" s="21"/>
      <c r="K8" s="22"/>
      <c r="L8" s="23">
        <f t="shared" ref="L8:N8" ca="1" si="0">L9+L10</f>
        <v>2134124.87</v>
      </c>
      <c r="M8" s="23">
        <f t="shared" ca="1" si="0"/>
        <v>1687834.87</v>
      </c>
      <c r="N8" s="23">
        <f t="shared" ca="1" si="0"/>
        <v>1992377.2600000002</v>
      </c>
      <c r="O8" s="22">
        <f t="shared" ref="O8:O16" ca="1" si="1">IF(L8&gt;0,N8*100/L8,0)</f>
        <v>93.35804516443315</v>
      </c>
      <c r="P8" s="22">
        <f t="shared" ref="P8:P16" ca="1" si="2">IF(M8&gt;0,N8*100/M8,0)</f>
        <v>118.04337589020187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2134124.87</v>
      </c>
      <c r="M10" s="30">
        <f t="shared" ca="1" si="4"/>
        <v>1687834.87</v>
      </c>
      <c r="N10" s="30">
        <f t="shared" ca="1" si="4"/>
        <v>1992377.2600000002</v>
      </c>
      <c r="O10" s="29">
        <f t="shared" ca="1" si="1"/>
        <v>93.35804516443315</v>
      </c>
      <c r="P10" s="29">
        <f t="shared" ca="1" si="2"/>
        <v>118.04337589020187</v>
      </c>
    </row>
    <row r="11" spans="1:16" ht="21.75" customHeight="1" x14ac:dyDescent="0.3">
      <c r="A11" s="31"/>
      <c r="B11" s="32"/>
      <c r="C11" s="33" t="s">
        <v>16</v>
      </c>
      <c r="D11" s="574" t="s">
        <v>20</v>
      </c>
      <c r="E11" s="575"/>
      <c r="F11" s="57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2073424.87</v>
      </c>
      <c r="M12" s="38">
        <f t="shared" ca="1" si="6"/>
        <v>1627134.87</v>
      </c>
      <c r="N12" s="38">
        <f t="shared" ca="1" si="6"/>
        <v>1931677.2600000002</v>
      </c>
      <c r="O12" s="38">
        <f t="shared" ca="1" si="1"/>
        <v>93.163600376800744</v>
      </c>
      <c r="P12" s="38">
        <f t="shared" ca="1" si="2"/>
        <v>118.7164810744914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1301272.8700000001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772152</v>
      </c>
      <c r="M14" s="38">
        <f t="shared" si="8"/>
        <v>0</v>
      </c>
      <c r="N14" s="38">
        <f t="shared" ca="1" si="8"/>
        <v>481403.56</v>
      </c>
      <c r="O14" s="41">
        <f t="shared" ca="1" si="1"/>
        <v>62.345698774334586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4" t="s">
        <v>23</v>
      </c>
      <c r="E15" s="57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60700</v>
      </c>
      <c r="M16" s="38">
        <f t="shared" ca="1" si="10"/>
        <v>60700</v>
      </c>
      <c r="N16" s="38">
        <f t="shared" ca="1" si="10"/>
        <v>60700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85" t="s">
        <v>24</v>
      </c>
      <c r="B17" s="580"/>
      <c r="C17" s="580"/>
      <c r="D17" s="580"/>
      <c r="E17" s="580"/>
      <c r="F17" s="580"/>
      <c r="G17" s="58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4" t="s">
        <v>17</v>
      </c>
      <c r="E18" s="573"/>
      <c r="F18" s="573"/>
      <c r="G18" s="573"/>
      <c r="H18" s="20" t="s">
        <v>12</v>
      </c>
      <c r="I18" s="21"/>
      <c r="J18" s="21"/>
      <c r="K18" s="22"/>
      <c r="L18" s="23">
        <f t="shared" ref="L18:N18" ca="1" si="11">L19+L20</f>
        <v>1616554.87</v>
      </c>
      <c r="M18" s="23">
        <f t="shared" ca="1" si="11"/>
        <v>1687834.87</v>
      </c>
      <c r="N18" s="23">
        <f t="shared" ca="1" si="11"/>
        <v>1510973.7000000002</v>
      </c>
      <c r="O18" s="22">
        <f t="shared" ref="O18:O20" ca="1" si="12">IF(L18&gt;0,N18*100/L18,0)</f>
        <v>93.468754326910059</v>
      </c>
      <c r="P18" s="22">
        <f t="shared" ref="P18:P26" ca="1" si="13">IF(M18&gt;0,N18*100/M18,0)</f>
        <v>89.521417459517252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1616554.87</v>
      </c>
      <c r="M20" s="30">
        <f t="shared" ca="1" si="15"/>
        <v>1687834.87</v>
      </c>
      <c r="N20" s="30">
        <f t="shared" ca="1" si="15"/>
        <v>1510973.7000000002</v>
      </c>
      <c r="O20" s="29">
        <f t="shared" ca="1" si="12"/>
        <v>93.468754326910059</v>
      </c>
      <c r="P20" s="29">
        <f t="shared" ca="1" si="13"/>
        <v>89.521417459517252</v>
      </c>
    </row>
    <row r="21" spans="1:16" ht="21.75" customHeight="1" x14ac:dyDescent="0.3">
      <c r="A21" s="31"/>
      <c r="B21" s="32"/>
      <c r="C21" s="33" t="s">
        <v>16</v>
      </c>
      <c r="D21" s="574" t="s">
        <v>20</v>
      </c>
      <c r="E21" s="575"/>
      <c r="F21" s="575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1555854.87</v>
      </c>
      <c r="M22" s="42">
        <f t="shared" ca="1" si="18"/>
        <v>1627134.87</v>
      </c>
      <c r="N22" s="41">
        <f t="shared" ca="1" si="18"/>
        <v>1450273.7000000002</v>
      </c>
      <c r="O22" s="41">
        <f t="shared" ca="1" si="17"/>
        <v>93.213944819930418</v>
      </c>
      <c r="P22" s="41">
        <f t="shared" ca="1" si="13"/>
        <v>89.13051565295261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1301272.8700000001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254582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4" t="s">
        <v>23</v>
      </c>
      <c r="E25" s="575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60700</v>
      </c>
      <c r="M26" s="50">
        <f t="shared" ca="1" si="22"/>
        <v>60700</v>
      </c>
      <c r="N26" s="50">
        <f t="shared" ca="1" si="22"/>
        <v>60700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85" t="s">
        <v>25</v>
      </c>
      <c r="B27" s="580"/>
      <c r="C27" s="580"/>
      <c r="D27" s="580"/>
      <c r="E27" s="580"/>
      <c r="F27" s="580"/>
      <c r="G27" s="58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4" t="s">
        <v>17</v>
      </c>
      <c r="E28" s="573"/>
      <c r="F28" s="573"/>
      <c r="G28" s="573"/>
      <c r="H28" s="20" t="s">
        <v>12</v>
      </c>
      <c r="I28" s="21"/>
      <c r="J28" s="21"/>
      <c r="K28" s="22"/>
      <c r="L28" s="23">
        <f t="shared" ref="L28:N28" ca="1" si="23">L29+L30</f>
        <v>517570</v>
      </c>
      <c r="M28" s="23">
        <f t="shared" si="23"/>
        <v>0</v>
      </c>
      <c r="N28" s="23">
        <f t="shared" ca="1" si="23"/>
        <v>481403.56</v>
      </c>
      <c r="O28" s="22">
        <f t="shared" ref="O28:O30" ca="1" si="24">IF(L28&gt;0,N28*100/L28,0)</f>
        <v>93.012261143420218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517570</v>
      </c>
      <c r="M30" s="30">
        <f t="shared" si="27"/>
        <v>0</v>
      </c>
      <c r="N30" s="30">
        <f t="shared" ca="1" si="27"/>
        <v>481403.56</v>
      </c>
      <c r="O30" s="29">
        <f t="shared" ca="1" si="24"/>
        <v>93.012261143420218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4" t="s">
        <v>20</v>
      </c>
      <c r="E31" s="575"/>
      <c r="F31" s="575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517570</v>
      </c>
      <c r="M32" s="41">
        <f t="shared" si="30"/>
        <v>0</v>
      </c>
      <c r="N32" s="41">
        <f t="shared" ca="1" si="30"/>
        <v>481403.56</v>
      </c>
      <c r="O32" s="41">
        <f t="shared" ca="1" si="29"/>
        <v>93.012261143420218</v>
      </c>
      <c r="P32" s="41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517570</v>
      </c>
      <c r="M34" s="41">
        <f t="shared" si="32"/>
        <v>0</v>
      </c>
      <c r="N34" s="41">
        <f t="shared" ca="1" si="32"/>
        <v>481403.56</v>
      </c>
      <c r="O34" s="41">
        <f t="shared" ca="1" si="29"/>
        <v>93.012261143420218</v>
      </c>
      <c r="P34" s="41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4" t="s">
        <v>23</v>
      </c>
      <c r="E35" s="575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1616554.87</v>
      </c>
      <c r="M37" s="55">
        <f t="shared" ca="1" si="33"/>
        <v>1687834.87</v>
      </c>
      <c r="N37" s="55">
        <f t="shared" ca="1" si="33"/>
        <v>1510973.7000000002</v>
      </c>
      <c r="O37" s="56">
        <f t="shared" ca="1" si="29"/>
        <v>93.468754326910059</v>
      </c>
      <c r="P37" s="56">
        <f t="shared" ca="1" si="25"/>
        <v>89.521417459517252</v>
      </c>
    </row>
    <row r="38" spans="1:16" ht="21.75" customHeight="1" x14ac:dyDescent="0.3">
      <c r="A38" s="579" t="s">
        <v>27</v>
      </c>
      <c r="B38" s="580"/>
      <c r="C38" s="580"/>
      <c r="D38" s="580"/>
      <c r="E38" s="580"/>
      <c r="F38" s="580"/>
      <c r="G38" s="581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82" t="s">
        <v>28</v>
      </c>
      <c r="C39" s="573"/>
      <c r="D39" s="573"/>
      <c r="E39" s="573"/>
      <c r="F39" s="573"/>
      <c r="G39" s="573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83" t="s">
        <v>17</v>
      </c>
      <c r="E41" s="575"/>
      <c r="F41" s="575"/>
      <c r="G41" s="575"/>
      <c r="H41" s="76" t="s">
        <v>12</v>
      </c>
      <c r="I41" s="77"/>
      <c r="J41" s="77"/>
      <c r="K41" s="78"/>
      <c r="L41" s="79">
        <f t="shared" ref="L41:N41" ca="1" si="34">L42+L43</f>
        <v>626400</v>
      </c>
      <c r="M41" s="79">
        <f t="shared" ca="1" si="34"/>
        <v>626400</v>
      </c>
      <c r="N41" s="79">
        <f t="shared" ca="1" si="34"/>
        <v>575696.15</v>
      </c>
      <c r="O41" s="78">
        <f t="shared" ref="O41:O43" ca="1" si="35">IF(L41&gt;0,N41*100/L41,0)</f>
        <v>91.905515644955301</v>
      </c>
      <c r="P41" s="78">
        <f t="shared" ref="P41:P43" ca="1" si="36">IF(M41&gt;0,N41*100/M41,0)</f>
        <v>91.905515644955301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626400</v>
      </c>
      <c r="M43" s="79">
        <f t="shared" ca="1" si="38"/>
        <v>626400</v>
      </c>
      <c r="N43" s="79">
        <f t="shared" ca="1" si="38"/>
        <v>575696.15</v>
      </c>
      <c r="O43" s="78">
        <f t="shared" ca="1" si="35"/>
        <v>91.905515644955301</v>
      </c>
      <c r="P43" s="78">
        <f t="shared" ca="1" si="36"/>
        <v>91.905515644955301</v>
      </c>
    </row>
    <row r="44" spans="1:16" ht="21.75" customHeight="1" x14ac:dyDescent="0.3">
      <c r="A44" s="80"/>
      <c r="B44" s="81"/>
      <c r="C44" s="82" t="s">
        <v>16</v>
      </c>
      <c r="D44" s="576" t="s">
        <v>20</v>
      </c>
      <c r="E44" s="575"/>
      <c r="F44" s="575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603500</v>
      </c>
      <c r="M45" s="91">
        <f ca="1">IFERROR(__xludf.DUMMYFUNCTION("IMPORTRANGE(""https://docs.google.com/spreadsheets/d/1Yj_ptqi66GCucihVvJfMjLAmec39IyEx_6qawtMGysU/edit?usp=sharing"",""สบก!Q89"")"),603500)</f>
        <v>603500</v>
      </c>
      <c r="N45" s="91">
        <f ca="1">IFERROR(__xludf.DUMMYFUNCTION("IMPORTRANGE(""https://docs.google.com/spreadsheets/d/1Yj_ptqi66GCucihVvJfMjLAmec39IyEx_6qawtMGysU/edit?usp=sharing"",""สบก!R89"")"),552796.15)</f>
        <v>552796.15</v>
      </c>
      <c r="O45" s="92">
        <f ca="1">IF(L45&gt;0,N45*100/L45,0)</f>
        <v>91.598367854183934</v>
      </c>
      <c r="P45" s="92">
        <f ca="1">IF(M45&gt;0,N45*100/M45,0)</f>
        <v>91.598367854183934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IFERROR(__xludf.DUMMYFUNCTION("IMPORTRANGE(""https://docs.google.com/spreadsheets/d/1Yj_ptqi66GCucihVvJfMjLAmec39IyEx_6qawtMGysU/edit?usp=sharing"",""สบก!M89"")"),603500)</f>
        <v>603500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IFERROR(__xludf.DUMMYFUNCTION("IMPORTRANGE(""https://docs.google.com/spreadsheets/d/1Yj_ptqi66GCucihVvJfMjLAmec39IyEx_6qawtMGysU/edit?usp=sharing"",""สบก!N89"")"),0)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6" t="s">
        <v>23</v>
      </c>
      <c r="E48" s="57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IFERROR(__xludf.DUMMYFUNCTION("IMPORTRANGE(""https://docs.google.com/spreadsheets/d/1Yj_ptqi66GCucihVvJfMjLAmec39IyEx_6qawtMGysU/edit?usp=sharing"",""สบก!O89"")"),22900)</f>
        <v>22900</v>
      </c>
      <c r="M49" s="101">
        <f ca="1">L49</f>
        <v>22900</v>
      </c>
      <c r="N49" s="91">
        <f ca="1">IFERROR(__xludf.DUMMYFUNCTION("IMPORTRANGE(""https://docs.google.com/spreadsheets/d/1Yj_ptqi66GCucihVvJfMjLAmec39IyEx_6qawtMGysU/edit?usp=sharing"",""สบก!S89"")"),22900)</f>
        <v>22900</v>
      </c>
      <c r="O49" s="101">
        <f ca="1">IF(L49&gt;0,N49*100/L49,0)</f>
        <v>100</v>
      </c>
      <c r="P49" s="101">
        <f ca="1">IF(M49&gt;0,N49*100/M49,0)</f>
        <v>100</v>
      </c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577" t="s">
        <v>32</v>
      </c>
      <c r="C52" s="575"/>
      <c r="D52" s="575"/>
      <c r="E52" s="575"/>
      <c r="F52" s="575"/>
      <c r="G52" s="575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578" t="s">
        <v>17</v>
      </c>
      <c r="E53" s="575"/>
      <c r="F53" s="575"/>
      <c r="G53" s="575"/>
      <c r="H53" s="122" t="s">
        <v>12</v>
      </c>
      <c r="I53" s="123"/>
      <c r="J53" s="123"/>
      <c r="K53" s="124"/>
      <c r="L53" s="125">
        <f t="shared" ref="L53:N53" ca="1" si="39">L54+L55</f>
        <v>202272.87</v>
      </c>
      <c r="M53" s="125">
        <f t="shared" ca="1" si="39"/>
        <v>202272.87</v>
      </c>
      <c r="N53" s="125">
        <f t="shared" ca="1" si="39"/>
        <v>183948.87</v>
      </c>
      <c r="O53" s="124">
        <f t="shared" ref="O53:O55" ca="1" si="40">IF(L53&gt;0,N53*100/L53,0)</f>
        <v>90.940950212453117</v>
      </c>
      <c r="P53" s="124">
        <f t="shared" ref="P53:P55" ca="1" si="41">IF(M53&gt;0,N53*100/M53,0)</f>
        <v>90.940950212453117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202272.87</v>
      </c>
      <c r="M55" s="125">
        <f t="shared" ca="1" si="43"/>
        <v>202272.87</v>
      </c>
      <c r="N55" s="125">
        <f t="shared" ca="1" si="43"/>
        <v>183948.87</v>
      </c>
      <c r="O55" s="124">
        <f t="shared" ca="1" si="40"/>
        <v>90.940950212453117</v>
      </c>
      <c r="P55" s="124">
        <f t="shared" ca="1" si="41"/>
        <v>90.940950212453117</v>
      </c>
    </row>
    <row r="56" spans="1:16" ht="21.75" customHeight="1" x14ac:dyDescent="0.3">
      <c r="A56" s="80"/>
      <c r="B56" s="81"/>
      <c r="C56" s="82" t="s">
        <v>16</v>
      </c>
      <c r="D56" s="576" t="s">
        <v>20</v>
      </c>
      <c r="E56" s="575"/>
      <c r="F56" s="575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202272.87</v>
      </c>
      <c r="M57" s="91">
        <f ca="1">IFERROR(__xludf.DUMMYFUNCTION("IMPORTRANGE(""https://docs.google.com/spreadsheets/d/1Yj_ptqi66GCucihVvJfMjLAmec39IyEx_6qawtMGysU/edit?usp=sharing"",""สบก!Z89"")"),202272.87)</f>
        <v>202272.87</v>
      </c>
      <c r="N57" s="91">
        <f ca="1">IFERROR(__xludf.DUMMYFUNCTION("IMPORTRANGE(""https://docs.google.com/spreadsheets/d/1Yj_ptqi66GCucihVvJfMjLAmec39IyEx_6qawtMGysU/edit?usp=sharing"",""สบก!AA89"")"),183948.87)</f>
        <v>183948.87</v>
      </c>
      <c r="O57" s="92">
        <f ca="1">IF(L57&gt;0,N57*100/L57,0)</f>
        <v>90.940950212453117</v>
      </c>
      <c r="P57" s="92">
        <f ca="1">IF(M57&gt;0,N57*100/M57,0)</f>
        <v>90.940950212453117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IFERROR(__xludf.DUMMYFUNCTION("IMPORTRANGE(""https://docs.google.com/spreadsheets/d/1Yj_ptqi66GCucihVvJfMjLAmec39IyEx_6qawtMGysU/edit?usp=sharing"",""สบก!V89"")"),202272.87)</f>
        <v>202272.87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IFERROR(__xludf.DUMMYFUNCTION("IMPORTRANGE(""https://docs.google.com/spreadsheets/d/1Yj_ptqi66GCucihVvJfMjLAmec39IyEx_6qawtMGysU/edit?usp=sharing"",""สบก!W89"")"),0)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6" t="s">
        <v>23</v>
      </c>
      <c r="E60" s="57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IFERROR(__xludf.DUMMYFUNCTION("IMPORTRANGE(""https://docs.google.com/spreadsheets/d/1Yj_ptqi66GCucihVvJfMjLAmec39IyEx_6qawtMGysU/edit?usp=sharing"",""สบก!X89"")"),0)</f>
        <v>0</v>
      </c>
      <c r="M61" s="101"/>
      <c r="N61" s="91">
        <f ca="1">IFERROR(__xludf.DUMMYFUNCTION("IMPORTRANGE(""https://docs.google.com/spreadsheets/d/1Yj_ptqi66GCucihVvJfMjLAmec39IyEx_6qawtMGysU/edit?usp=sharing"",""สบก!AB89"")"),0)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IFERROR(__xludf.DUMMYFUNCTION("IMPORTRANGE(""https://docs.google.com/spreadsheets/d/1IYY_tgx_IHuhSq3AJ5eI5OnqOPBNLWSHKh2a30DoXe8/edit?usp=sharing"",""ภูเก็ต!I9"")"),0)</f>
        <v>0</v>
      </c>
      <c r="J64" s="146">
        <f ca="1">IFERROR(__xludf.DUMMYFUNCTION("IMPORTRANGE(""https://docs.google.com/spreadsheets/d/1IYY_tgx_IHuhSq3AJ5eI5OnqOPBNLWSHKh2a30DoXe8/edit?usp=sharing"",""ภูเก็ต!J9"")"),0)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IFERROR(__xludf.DUMMYFUNCTION("IMPORTRANGE(""https://docs.google.com/spreadsheets/d/1IYY_tgx_IHuhSq3AJ5eI5OnqOPBNLWSHKh2a30DoXe8/edit?usp=sharing"",""ภูเก็ต!I10"")"),0)</f>
        <v>0</v>
      </c>
      <c r="J65" s="146">
        <f ca="1">IFERROR(__xludf.DUMMYFUNCTION("IMPORTRANGE(""https://docs.google.com/spreadsheets/d/1IYY_tgx_IHuhSq3AJ5eI5OnqOPBNLWSHKh2a30DoXe8/edit?usp=sharing"",""ภูเก็ต!J10"")"),0)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2" t="s">
        <v>17</v>
      </c>
      <c r="E66" s="573"/>
      <c r="F66" s="573"/>
      <c r="G66" s="573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3">
      <c r="A69" s="162"/>
      <c r="B69" s="163"/>
      <c r="C69" s="163" t="s">
        <v>16</v>
      </c>
      <c r="D69" s="574" t="s">
        <v>20</v>
      </c>
      <c r="E69" s="575"/>
      <c r="F69" s="575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IFERROR(__xludf.DUMMYFUNCTION("IMPORTRANGE(""https://docs.google.com/spreadsheets/d/1Yj_ptqi66GCucihVvJfMjLAmec39IyEx_6qawtMGysU/edit?usp=sharing"",""สบก!AI89"")"),0)</f>
        <v>0</v>
      </c>
      <c r="N70" s="174">
        <f ca="1">IFERROR(__xludf.DUMMYFUNCTION("IMPORTRANGE(""https://docs.google.com/spreadsheets/d/1Yj_ptqi66GCucihVvJfMjLAmec39IyEx_6qawtMGysU/edit?usp=sharing"",""สบก!AJ89"")"),0)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IFERROR(__xludf.DUMMYFUNCTION("IMPORTRANGE(""https://docs.google.com/spreadsheets/d/1Yj_ptqi66GCucihVvJfMjLAmec39IyEx_6qawtMGysU/edit?usp=sharing"",""สบก!AE89"")"),0)</f>
        <v>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IFERROR(__xludf.DUMMYFUNCTION("IMPORTRANGE(""https://docs.google.com/spreadsheets/d/1Yj_ptqi66GCucihVvJfMjLAmec39IyEx_6qawtMGysU/edit?usp=sharing"",""สบก!AF89"")"),0)</f>
        <v>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6" t="s">
        <v>23</v>
      </c>
      <c r="E73" s="575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IFERROR(__xludf.DUMMYFUNCTION("IMPORTRANGE(""https://docs.google.com/spreadsheets/d/1Yj_ptqi66GCucihVvJfMjLAmec39IyEx_6qawtMGysU/edit?usp=sharing"",""สบก!AG89"")"),0)</f>
        <v>0</v>
      </c>
      <c r="M74" s="101"/>
      <c r="N74" s="91">
        <f ca="1">IFERROR(__xludf.DUMMYFUNCTION("IMPORTRANGE(""https://docs.google.com/spreadsheets/d/1Yj_ptqi66GCucihVvJfMjLAmec39IyEx_6qawtMGysU/edit?usp=sharing"",""สบก!AK89"")"),0)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IFERROR(__xludf.DUMMYFUNCTION("IMPORTRANGE(""https://docs.google.com/spreadsheets/d/1IYY_tgx_IHuhSq3AJ5eI5OnqOPBNLWSHKh2a30DoXe8/edit?usp=sharing"",""ภูเก็ต!J16"")"),0)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IFERROR(__xludf.DUMMYFUNCTION("IMPORTRANGE(""https://docs.google.com/spreadsheets/d/1IYY_tgx_IHuhSq3AJ5eI5OnqOPBNLWSHKh2a30DoXe8/edit?usp=sharing"",""ภูเก็ต!J17"")"),0)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IFERROR(__xludf.DUMMYFUNCTION("IMPORTRANGE(""https://docs.google.com/spreadsheets/d/1IYY_tgx_IHuhSq3AJ5eI5OnqOPBNLWSHKh2a30DoXe8/edit?usp=sharing"",""ภูเก็ต!J18"")"),0)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IFERROR(__xludf.DUMMYFUNCTION("IMPORTRANGE(""https://docs.google.com/spreadsheets/d/1IYY_tgx_IHuhSq3AJ5eI5OnqOPBNLWSHKh2a30DoXe8/edit?usp=sharing"",""ภูเก็ต!J19"")"),0)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IFERROR(__xludf.DUMMYFUNCTION("IMPORTRANGE(""https://docs.google.com/spreadsheets/d/1IYY_tgx_IHuhSq3AJ5eI5OnqOPBNLWSHKh2a30DoXe8/edit?usp=sharing"",""ภูเก็ต!I20"")"),0)</f>
        <v>0</v>
      </c>
      <c r="J80" s="207">
        <f ca="1">IFERROR(__xludf.DUMMYFUNCTION("IMPORTRANGE(""https://docs.google.com/spreadsheets/d/1IYY_tgx_IHuhSq3AJ5eI5OnqOPBNLWSHKh2a30DoXe8/edit?usp=sharing"",""ภูเก็ต!J20"")"),0)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IFERROR(__xludf.DUMMYFUNCTION("IMPORTRANGE(""https://docs.google.com/spreadsheets/d/1IYY_tgx_IHuhSq3AJ5eI5OnqOPBNLWSHKh2a30DoXe8/edit?usp=sharing"",""ภูเก็ต!I21"")"),0)</f>
        <v>0</v>
      </c>
      <c r="J81" s="207">
        <f ca="1">IFERROR(__xludf.DUMMYFUNCTION("IMPORTRANGE(""https://docs.google.com/spreadsheets/d/1IYY_tgx_IHuhSq3AJ5eI5OnqOPBNLWSHKh2a30DoXe8/edit?usp=sharing"",""ภูเก็ต!J21"")"),0)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IFERROR(__xludf.DUMMYFUNCTION("IMPORTRANGE(""https://docs.google.com/spreadsheets/d/1IYY_tgx_IHuhSq3AJ5eI5OnqOPBNLWSHKh2a30DoXe8/edit?usp=sharing"",""ภูเก็ต!I22"")"),0)</f>
        <v>0</v>
      </c>
      <c r="J82" s="210">
        <f ca="1">IFERROR(__xludf.DUMMYFUNCTION("IMPORTRANGE(""https://docs.google.com/spreadsheets/d/1IYY_tgx_IHuhSq3AJ5eI5OnqOPBNLWSHKh2a30DoXe8/edit?usp=sharing"",""ภูเก็ต!J22"")"),0)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IFERROR(__xludf.DUMMYFUNCTION("IMPORTRANGE(""https://docs.google.com/spreadsheets/d/1IYY_tgx_IHuhSq3AJ5eI5OnqOPBNLWSHKh2a30DoXe8/edit?usp=sharing"",""ภูเก็ต!I23"")"),0)</f>
        <v>0</v>
      </c>
      <c r="J83" s="210">
        <f ca="1">IFERROR(__xludf.DUMMYFUNCTION("IMPORTRANGE(""https://docs.google.com/spreadsheets/d/1IYY_tgx_IHuhSq3AJ5eI5OnqOPBNLWSHKh2a30DoXe8/edit?usp=sharing"",""ภูเก็ต!J23"")"),0)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IFERROR(__xludf.DUMMYFUNCTION("IMPORTRANGE(""https://docs.google.com/spreadsheets/d/1IYY_tgx_IHuhSq3AJ5eI5OnqOPBNLWSHKh2a30DoXe8/edit?usp=sharing"",""ภูเก็ต!I24"")"),0)</f>
        <v>0</v>
      </c>
      <c r="J84" s="195">
        <f ca="1">IFERROR(__xludf.DUMMYFUNCTION("IMPORTRANGE(""https://docs.google.com/spreadsheets/d/1IYY_tgx_IHuhSq3AJ5eI5OnqOPBNLWSHKh2a30DoXe8/edit?usp=sharing"",""ภูเก็ต!J24"")"),0)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IFERROR(__xludf.DUMMYFUNCTION("IMPORTRANGE(""https://docs.google.com/spreadsheets/d/1IYY_tgx_IHuhSq3AJ5eI5OnqOPBNLWSHKh2a30DoXe8/edit?usp=sharing"",""ภูเก็ต!I25"")"),0)</f>
        <v>0</v>
      </c>
      <c r="J85" s="195">
        <f ca="1">IFERROR(__xludf.DUMMYFUNCTION("IMPORTRANGE(""https://docs.google.com/spreadsheets/d/1IYY_tgx_IHuhSq3AJ5eI5OnqOPBNLWSHKh2a30DoXe8/edit?usp=sharing"",""ภูเก็ต!J25"")"),0)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IFERROR(__xludf.DUMMYFUNCTION("IMPORTRANGE(""https://docs.google.com/spreadsheets/d/1IYY_tgx_IHuhSq3AJ5eI5OnqOPBNLWSHKh2a30DoXe8/edit?usp=sharing"",""ภูเก็ต!I26"")"),0)</f>
        <v>0</v>
      </c>
      <c r="J86" s="210">
        <f ca="1">IFERROR(__xludf.DUMMYFUNCTION("IMPORTRANGE(""https://docs.google.com/spreadsheets/d/1IYY_tgx_IHuhSq3AJ5eI5OnqOPBNLWSHKh2a30DoXe8/edit?usp=sharing"",""ภูเก็ต!J26"")"),0)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IFERROR(__xludf.DUMMYFUNCTION("IMPORTRANGE(""https://docs.google.com/spreadsheets/d/1IYY_tgx_IHuhSq3AJ5eI5OnqOPBNLWSHKh2a30DoXe8/edit?usp=sharing"",""ภูเก็ต!I27"")"),0)</f>
        <v>0</v>
      </c>
      <c r="J87" s="210">
        <f ca="1">IFERROR(__xludf.DUMMYFUNCTION("IMPORTRANGE(""https://docs.google.com/spreadsheets/d/1IYY_tgx_IHuhSq3AJ5eI5OnqOPBNLWSHKh2a30DoXe8/edit?usp=sharing"",""ภูเก็ต!J27"")"),0)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IFERROR(__xludf.DUMMYFUNCTION("IMPORTRANGE(""https://docs.google.com/spreadsheets/d/1IYY_tgx_IHuhSq3AJ5eI5OnqOPBNLWSHKh2a30DoXe8/edit?usp=sharing"",""ภูเก็ต!I28"")"),0)</f>
        <v>0</v>
      </c>
      <c r="J88" s="210">
        <f ca="1">IFERROR(__xludf.DUMMYFUNCTION("IMPORTRANGE(""https://docs.google.com/spreadsheets/d/1IYY_tgx_IHuhSq3AJ5eI5OnqOPBNLWSHKh2a30DoXe8/edit?usp=sharing"",""ภูเก็ต!J28"")"),0)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IFERROR(__xludf.DUMMYFUNCTION("IMPORTRANGE(""https://docs.google.com/spreadsheets/d/1IYY_tgx_IHuhSq3AJ5eI5OnqOPBNLWSHKh2a30DoXe8/edit?usp=sharing"",""ภูเก็ต!J29"")"),0)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IFERROR(__xludf.DUMMYFUNCTION("IMPORTRANGE(""https://docs.google.com/spreadsheets/d/1IYY_tgx_IHuhSq3AJ5eI5OnqOPBNLWSHKh2a30DoXe8/edit?usp=sharing"",""ภูเก็ต!J30"")"),0)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IFERROR(__xludf.DUMMYFUNCTION("IMPORTRANGE(""https://docs.google.com/spreadsheets/d/1IYY_tgx_IHuhSq3AJ5eI5OnqOPBNLWSHKh2a30DoXe8/edit?usp=sharing"",""ภูเก็ต!I32"")"),0)</f>
        <v>0</v>
      </c>
      <c r="J92" s="146">
        <f ca="1">IFERROR(__xludf.DUMMYFUNCTION("IMPORTRANGE(""https://docs.google.com/spreadsheets/d/1IYY_tgx_IHuhSq3AJ5eI5OnqOPBNLWSHKh2a30DoXe8/edit?usp=sharing"",""ภูเก็ต!J32"")"),0)</f>
        <v>0</v>
      </c>
      <c r="K92" s="147">
        <f t="shared" ref="K92:K93" ca="1" si="51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IFERROR(__xludf.DUMMYFUNCTION("IMPORTRANGE(""https://docs.google.com/spreadsheets/d/1IYY_tgx_IHuhSq3AJ5eI5OnqOPBNLWSHKh2a30DoXe8/edit?usp=sharing"",""ภูเก็ต!I33"")"),0)</f>
        <v>0</v>
      </c>
      <c r="J93" s="146">
        <f ca="1">IFERROR(__xludf.DUMMYFUNCTION("IMPORTRANGE(""https://docs.google.com/spreadsheets/d/1IYY_tgx_IHuhSq3AJ5eI5OnqOPBNLWSHKh2a30DoXe8/edit?usp=sharing"",""ภูเก็ต!J33"")"),0)</f>
        <v>0</v>
      </c>
      <c r="K93" s="147">
        <f t="shared" ca="1" si="51"/>
        <v>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2" t="s">
        <v>17</v>
      </c>
      <c r="E94" s="573"/>
      <c r="F94" s="573"/>
      <c r="G94" s="573"/>
      <c r="H94" s="153" t="s">
        <v>12</v>
      </c>
      <c r="I94" s="166"/>
      <c r="J94" s="166"/>
      <c r="K94" s="167"/>
      <c r="L94" s="156">
        <f t="shared" ref="L94:N94" ca="1" si="52">L95+L96</f>
        <v>0</v>
      </c>
      <c r="M94" s="156">
        <f t="shared" ca="1" si="52"/>
        <v>0</v>
      </c>
      <c r="N94" s="156">
        <f t="shared" ca="1" si="52"/>
        <v>0</v>
      </c>
      <c r="O94" s="155">
        <f t="shared" ref="O94:O96" ca="1" si="53">IF(L94&gt;0,N94*100/L94,0)</f>
        <v>0</v>
      </c>
      <c r="P94" s="155">
        <f t="shared" ref="P94:P96" ca="1" si="54">IF(M94&gt;0,N94*100/M94,0)</f>
        <v>0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0</v>
      </c>
      <c r="M96" s="161">
        <f t="shared" ca="1" si="56"/>
        <v>0</v>
      </c>
      <c r="N96" s="161">
        <f t="shared" ca="1" si="56"/>
        <v>0</v>
      </c>
      <c r="O96" s="160">
        <f t="shared" ca="1" si="53"/>
        <v>0</v>
      </c>
      <c r="P96" s="160">
        <f t="shared" ca="1" si="54"/>
        <v>0</v>
      </c>
    </row>
    <row r="97" spans="1:16" ht="21.75" customHeight="1" x14ac:dyDescent="0.25">
      <c r="A97" s="162"/>
      <c r="B97" s="163"/>
      <c r="C97" s="163" t="s">
        <v>16</v>
      </c>
      <c r="D97" s="284" t="s">
        <v>77</v>
      </c>
      <c r="E97" s="171"/>
      <c r="F97" s="171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0</v>
      </c>
      <c r="M98" s="173">
        <f ca="1">IFERROR(__xludf.DUMMYFUNCTION("IMPORTRANGE(""https://docs.google.com/spreadsheets/d/1Yj_ptqi66GCucihVvJfMjLAmec39IyEx_6qawtMGysU/edit?usp=sharing"",""สบก!AR89"")"),0)</f>
        <v>0</v>
      </c>
      <c r="N98" s="174">
        <f ca="1">IFERROR(__xludf.DUMMYFUNCTION("IMPORTRANGE(""https://docs.google.com/spreadsheets/d/1Yj_ptqi66GCucihVvJfMjLAmec39IyEx_6qawtMGysU/edit?usp=sharing"",""สบก!AS89"")"),0)</f>
        <v>0</v>
      </c>
      <c r="O98" s="175">
        <f ca="1">IF(L98&gt;0,N98*100/L98,0)</f>
        <v>0</v>
      </c>
      <c r="P98" s="175">
        <f ca="1">IF(M98&gt;0,N98*100/M98,0)</f>
        <v>0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IFERROR(__xludf.DUMMYFUNCTION("IMPORTRANGE(""https://docs.google.com/spreadsheets/d/1Yj_ptqi66GCucihVvJfMjLAmec39IyEx_6qawtMGysU/edit?usp=sharing"",""สบก!AN89"")"),0)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IFERROR(__xludf.DUMMYFUNCTION("IMPORTRANGE(""https://docs.google.com/spreadsheets/d/1Yj_ptqi66GCucihVvJfMjLAmec39IyEx_6qawtMGysU/edit?usp=sharing"",""สบก!AO89"")"),0)</f>
        <v>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6" t="s">
        <v>23</v>
      </c>
      <c r="E101" s="575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IFERROR(__xludf.DUMMYFUNCTION("IMPORTRANGE(""https://docs.google.com/spreadsheets/d/1Yj_ptqi66GCucihVvJfMjLAmec39IyEx_6qawtMGysU/edit?usp=sharing"",""สบก!AP89"")"),0)</f>
        <v>0</v>
      </c>
      <c r="M102" s="101"/>
      <c r="N102" s="91">
        <f ca="1">IFERROR(__xludf.DUMMYFUNCTION("IMPORTRANGE(""https://docs.google.com/spreadsheets/d/1Yj_ptqi66GCucihVvJfMjLAmec39IyEx_6qawtMGysU/edit?usp=sharing"",""สบก!AT89"")"),0)</f>
        <v>0</v>
      </c>
      <c r="O102" s="101">
        <f ca="1">IF(L102&gt;0,N102*100/L102,0)</f>
        <v>0</v>
      </c>
      <c r="P102" s="101"/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IFERROR(__xludf.DUMMYFUNCTION("IMPORTRANGE(""https://docs.google.com/spreadsheets/d/1IYY_tgx_IHuhSq3AJ5eI5OnqOPBNLWSHKh2a30DoXe8/edit?usp=sharing"",""ภูเก็ต!J39"")"),0)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IFERROR(__xludf.DUMMYFUNCTION("IMPORTRANGE(""https://docs.google.com/spreadsheets/d/1IYY_tgx_IHuhSq3AJ5eI5OnqOPBNLWSHKh2a30DoXe8/edit?usp=sharing"",""ภูเก็ต!J40"")"),0)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IFERROR(__xludf.DUMMYFUNCTION("IMPORTRANGE(""https://docs.google.com/spreadsheets/d/1IYY_tgx_IHuhSq3AJ5eI5OnqOPBNLWSHKh2a30DoXe8/edit?usp=sharing"",""ภูเก็ต!J41"")"),0)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IFERROR(__xludf.DUMMYFUNCTION("IMPORTRANGE(""https://docs.google.com/spreadsheets/d/1IYY_tgx_IHuhSq3AJ5eI5OnqOPBNLWSHKh2a30DoXe8/edit?usp=sharing"",""ภูเก็ต!J42"")"),0)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IFERROR(__xludf.DUMMYFUNCTION("IMPORTRANGE(""https://docs.google.com/spreadsheets/d/1IYY_tgx_IHuhSq3AJ5eI5OnqOPBNLWSHKh2a30DoXe8/edit?usp=sharing"",""ภูเก็ต!I43"")"),0)</f>
        <v>0</v>
      </c>
      <c r="J108" s="210">
        <f ca="1">IFERROR(__xludf.DUMMYFUNCTION("IMPORTRANGE(""https://docs.google.com/spreadsheets/d/1IYY_tgx_IHuhSq3AJ5eI5OnqOPBNLWSHKh2a30DoXe8/edit?usp=sharing"",""ภูเก็ต!J43"")"),0)</f>
        <v>0</v>
      </c>
      <c r="K108" s="230">
        <f t="shared" ref="K108:K113" ca="1" si="57">IF(I108&gt;0,J108*100/I108,0)</f>
        <v>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IFERROR(__xludf.DUMMYFUNCTION("IMPORTRANGE(""https://docs.google.com/spreadsheets/d/1IYY_tgx_IHuhSq3AJ5eI5OnqOPBNLWSHKh2a30DoXe8/edit?usp=sharing"",""ภูเก็ต!I44"")"),0)</f>
        <v>0</v>
      </c>
      <c r="J109" s="210">
        <f ca="1">IFERROR(__xludf.DUMMYFUNCTION("IMPORTRANGE(""https://docs.google.com/spreadsheets/d/1IYY_tgx_IHuhSq3AJ5eI5OnqOPBNLWSHKh2a30DoXe8/edit?usp=sharing"",""ภูเก็ต!J44"")"),0)</f>
        <v>0</v>
      </c>
      <c r="K109" s="230">
        <f t="shared" ca="1" si="57"/>
        <v>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IFERROR(__xludf.DUMMYFUNCTION("IMPORTRANGE(""https://docs.google.com/spreadsheets/d/1IYY_tgx_IHuhSq3AJ5eI5OnqOPBNLWSHKh2a30DoXe8/edit?usp=sharing"",""ภูเก็ต!I45"")"),0)</f>
        <v>0</v>
      </c>
      <c r="J110" s="210">
        <f ca="1">IFERROR(__xludf.DUMMYFUNCTION("IMPORTRANGE(""https://docs.google.com/spreadsheets/d/1IYY_tgx_IHuhSq3AJ5eI5OnqOPBNLWSHKh2a30DoXe8/edit?usp=sharing"",""ภูเก็ต!J45"")"),0)</f>
        <v>0</v>
      </c>
      <c r="K110" s="230">
        <f t="shared" ca="1" si="57"/>
        <v>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IFERROR(__xludf.DUMMYFUNCTION("IMPORTRANGE(""https://docs.google.com/spreadsheets/d/1IYY_tgx_IHuhSq3AJ5eI5OnqOPBNLWSHKh2a30DoXe8/edit?usp=sharing"",""ภูเก็ต!I46"")"),0)</f>
        <v>0</v>
      </c>
      <c r="J111" s="210">
        <f ca="1">IFERROR(__xludf.DUMMYFUNCTION("IMPORTRANGE(""https://docs.google.com/spreadsheets/d/1IYY_tgx_IHuhSq3AJ5eI5OnqOPBNLWSHKh2a30DoXe8/edit?usp=sharing"",""ภูเก็ต!J46"")"),0)</f>
        <v>0</v>
      </c>
      <c r="K111" s="230">
        <f t="shared" ca="1" si="57"/>
        <v>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IFERROR(__xludf.DUMMYFUNCTION("IMPORTRANGE(""https://docs.google.com/spreadsheets/d/1IYY_tgx_IHuhSq3AJ5eI5OnqOPBNLWSHKh2a30DoXe8/edit?usp=sharing"",""ภูเก็ต!I47"")"),0)</f>
        <v>0</v>
      </c>
      <c r="J112" s="210">
        <f ca="1">IFERROR(__xludf.DUMMYFUNCTION("IMPORTRANGE(""https://docs.google.com/spreadsheets/d/1IYY_tgx_IHuhSq3AJ5eI5OnqOPBNLWSHKh2a30DoXe8/edit?usp=sharing"",""ภูเก็ต!J47"")"),0)</f>
        <v>0</v>
      </c>
      <c r="K112" s="230">
        <f t="shared" ca="1" si="57"/>
        <v>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IFERROR(__xludf.DUMMYFUNCTION("IMPORTRANGE(""https://docs.google.com/spreadsheets/d/1IYY_tgx_IHuhSq3AJ5eI5OnqOPBNLWSHKh2a30DoXe8/edit?usp=sharing"",""ภูเก็ต!I48"")"),0)</f>
        <v>0</v>
      </c>
      <c r="J113" s="210">
        <f ca="1">IFERROR(__xludf.DUMMYFUNCTION("IMPORTRANGE(""https://docs.google.com/spreadsheets/d/1IYY_tgx_IHuhSq3AJ5eI5OnqOPBNLWSHKh2a30DoXe8/edit?usp=sharing"",""ภูเก็ต!J48"")"),0)</f>
        <v>0</v>
      </c>
      <c r="K113" s="230">
        <f t="shared" ca="1" si="57"/>
        <v>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IFERROR(__xludf.DUMMYFUNCTION("IMPORTRANGE(""https://docs.google.com/spreadsheets/d/1IYY_tgx_IHuhSq3AJ5eI5OnqOPBNLWSHKh2a30DoXe8/edit?usp=sharing"",""ภูเก็ต!J49"")"),0)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IFERROR(__xludf.DUMMYFUNCTION("IMPORTRANGE(""https://docs.google.com/spreadsheets/d/1IYY_tgx_IHuhSq3AJ5eI5OnqOPBNLWSHKh2a30DoXe8/edit?usp=sharing"",""ภูเก็ต!J50"")"),0)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IFERROR(__xludf.DUMMYFUNCTION("IMPORTRANGE(""https://docs.google.com/spreadsheets/d/1IYY_tgx_IHuhSq3AJ5eI5OnqOPBNLWSHKh2a30DoXe8/edit?usp=sharing"",""ภูเก็ต!I52"")"),0)</f>
        <v>0</v>
      </c>
      <c r="J117" s="146">
        <f ca="1">IFERROR(__xludf.DUMMYFUNCTION("IMPORTRANGE(""https://docs.google.com/spreadsheets/d/1IYY_tgx_IHuhSq3AJ5eI5OnqOPBNLWSHKh2a30DoXe8/edit?usp=sharing"",""ภูเก็ต!J52"")"),0)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2" t="s">
        <v>17</v>
      </c>
      <c r="E118" s="573"/>
      <c r="F118" s="573"/>
      <c r="G118" s="573"/>
      <c r="H118" s="153" t="s">
        <v>12</v>
      </c>
      <c r="I118" s="166"/>
      <c r="J118" s="166"/>
      <c r="K118" s="167"/>
      <c r="L118" s="156">
        <f t="shared" ref="L118:N118" ca="1" si="58">L119+L120</f>
        <v>0</v>
      </c>
      <c r="M118" s="156">
        <f t="shared" ca="1" si="58"/>
        <v>0</v>
      </c>
      <c r="N118" s="156">
        <f t="shared" ca="1" si="58"/>
        <v>0</v>
      </c>
      <c r="O118" s="155">
        <f t="shared" ref="O118:O120" ca="1" si="59">IF(L118&gt;0,N118*100/L118,0)</f>
        <v>0</v>
      </c>
      <c r="P118" s="155">
        <f t="shared" ref="P118:P120" ca="1" si="60">IF(M118&gt;0,N118*100/M118,0)</f>
        <v>0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0</v>
      </c>
      <c r="M120" s="161">
        <f t="shared" ca="1" si="62"/>
        <v>0</v>
      </c>
      <c r="N120" s="161">
        <f t="shared" ca="1" si="62"/>
        <v>0</v>
      </c>
      <c r="O120" s="160">
        <f t="shared" ca="1" si="59"/>
        <v>0</v>
      </c>
      <c r="P120" s="160">
        <f t="shared" ca="1" si="60"/>
        <v>0</v>
      </c>
    </row>
    <row r="121" spans="1:16" ht="21.75" customHeight="1" x14ac:dyDescent="0.3">
      <c r="A121" s="162"/>
      <c r="B121" s="163"/>
      <c r="C121" s="163" t="s">
        <v>16</v>
      </c>
      <c r="D121" s="574" t="s">
        <v>20</v>
      </c>
      <c r="E121" s="575"/>
      <c r="F121" s="575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0</v>
      </c>
      <c r="M122" s="173">
        <f ca="1">IFERROR(__xludf.DUMMYFUNCTION("IMPORTRANGE(""https://docs.google.com/spreadsheets/d/1Yj_ptqi66GCucihVvJfMjLAmec39IyEx_6qawtMGysU/edit?usp=sharing"",""สบก!BA89"")"),0)</f>
        <v>0</v>
      </c>
      <c r="N122" s="174">
        <f ca="1">IFERROR(__xludf.DUMMYFUNCTION("IMPORTRANGE(""https://docs.google.com/spreadsheets/d/1Yj_ptqi66GCucihVvJfMjLAmec39IyEx_6qawtMGysU/edit?usp=sharing"",""สบก!BB89"")"),0)</f>
        <v>0</v>
      </c>
      <c r="O122" s="175">
        <f ca="1">IF(L122&gt;0,N122*100/L122,0)</f>
        <v>0</v>
      </c>
      <c r="P122" s="175">
        <f ca="1">IF(M122&gt;0,N122*100/M122,0)</f>
        <v>0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IFERROR(__xludf.DUMMYFUNCTION("IMPORTRANGE(""https://docs.google.com/spreadsheets/d/1Yj_ptqi66GCucihVvJfMjLAmec39IyEx_6qawtMGysU/edit?usp=sharing"",""สบก!AW89"")"),0)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IFERROR(__xludf.DUMMYFUNCTION("IMPORTRANGE(""https://docs.google.com/spreadsheets/d/1Yj_ptqi66GCucihVvJfMjLAmec39IyEx_6qawtMGysU/edit?usp=sharing"",""สบก!AX89"")"),0)</f>
        <v>0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6" t="s">
        <v>23</v>
      </c>
      <c r="E125" s="575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IFERROR(__xludf.DUMMYFUNCTION("IMPORTRANGE(""https://docs.google.com/spreadsheets/d/1Yj_ptqi66GCucihVvJfMjLAmec39IyEx_6qawtMGysU/edit?usp=sharing"",""สบก!AY89"")"),0)</f>
        <v>0</v>
      </c>
      <c r="M126" s="101"/>
      <c r="N126" s="91">
        <f ca="1">IFERROR(__xludf.DUMMYFUNCTION("IMPORTRANGE(""https://docs.google.com/spreadsheets/d/1Yj_ptqi66GCucihVvJfMjLAmec39IyEx_6qawtMGysU/edit?usp=sharing"",""สบก!BC89"")"),0)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279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IFERROR(__xludf.DUMMYFUNCTION("IMPORTRANGE(""https://docs.google.com/spreadsheets/d/1IYY_tgx_IHuhSq3AJ5eI5OnqOPBNLWSHKh2a30DoXe8/edit?usp=sharing"",""ภูเก็ต!J58"")"),0)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IFERROR(__xludf.DUMMYFUNCTION("IMPORTRANGE(""https://docs.google.com/spreadsheets/d/1IYY_tgx_IHuhSq3AJ5eI5OnqOPBNLWSHKh2a30DoXe8/edit?usp=sharing"",""ภูเก็ต!J59"")"),0)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IFERROR(__xludf.DUMMYFUNCTION("IMPORTRANGE(""https://docs.google.com/spreadsheets/d/1IYY_tgx_IHuhSq3AJ5eI5OnqOPBNLWSHKh2a30DoXe8/edit?usp=sharing"",""ภูเก็ต!J60"")"),0)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IFERROR(__xludf.DUMMYFUNCTION("IMPORTRANGE(""https://docs.google.com/spreadsheets/d/1IYY_tgx_IHuhSq3AJ5eI5OnqOPBNLWSHKh2a30DoXe8/edit?usp=sharing"",""ภูเก็ต!J61"")"),0)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IFERROR(__xludf.DUMMYFUNCTION("IMPORTRANGE(""https://docs.google.com/spreadsheets/d/1IYY_tgx_IHuhSq3AJ5eI5OnqOPBNLWSHKh2a30DoXe8/edit?usp=sharing"",""ภูเก็ต!I62"")"),0)</f>
        <v>0</v>
      </c>
      <c r="J132" s="210">
        <f ca="1">IFERROR(__xludf.DUMMYFUNCTION("IMPORTRANGE(""https://docs.google.com/spreadsheets/d/1IYY_tgx_IHuhSq3AJ5eI5OnqOPBNLWSHKh2a30DoXe8/edit?usp=sharing"",""ภูเก็ต!J62"")"),0)</f>
        <v>0</v>
      </c>
      <c r="K132" s="230">
        <f t="shared" ref="K132:K133" ca="1" si="63">IF(I132&gt;0,J132*100/I132,0)</f>
        <v>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IFERROR(__xludf.DUMMYFUNCTION("IMPORTRANGE(""https://docs.google.com/spreadsheets/d/1IYY_tgx_IHuhSq3AJ5eI5OnqOPBNLWSHKh2a30DoXe8/edit?usp=sharing"",""ภูเก็ต!I63"")"),0)</f>
        <v>0</v>
      </c>
      <c r="J133" s="210">
        <f ca="1">IFERROR(__xludf.DUMMYFUNCTION("IMPORTRANGE(""https://docs.google.com/spreadsheets/d/1IYY_tgx_IHuhSq3AJ5eI5OnqOPBNLWSHKh2a30DoXe8/edit?usp=sharing"",""ภูเก็ต!J63"")"),0)</f>
        <v>0</v>
      </c>
      <c r="K133" s="230">
        <f t="shared" ca="1" si="63"/>
        <v>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IFERROR(__xludf.DUMMYFUNCTION("IMPORTRANGE(""https://docs.google.com/spreadsheets/d/1IYY_tgx_IHuhSq3AJ5eI5OnqOPBNLWSHKh2a30DoXe8/edit?usp=sharing"",""ภูเก็ต!J64"")"),0)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IFERROR(__xludf.DUMMYFUNCTION("IMPORTRANGE(""https://docs.google.com/spreadsheets/d/1IYY_tgx_IHuhSq3AJ5eI5OnqOPBNLWSHKh2a30DoXe8/edit?usp=sharing"",""ภูเก็ต!J65"")"),0)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IFERROR(__xludf.DUMMYFUNCTION("IMPORTRANGE(""https://docs.google.com/spreadsheets/d/1IYY_tgx_IHuhSq3AJ5eI5OnqOPBNLWSHKh2a30DoXe8/edit?usp=sharing"",""ภูเก็ต!I68"")"),0)</f>
        <v>0</v>
      </c>
      <c r="J138" s="273">
        <f ca="1">IFERROR(__xludf.DUMMYFUNCTION("IMPORTRANGE(""https://docs.google.com/spreadsheets/d/1IYY_tgx_IHuhSq3AJ5eI5OnqOPBNLWSHKh2a30DoXe8/edit?usp=sharing"",""ภูเก็ต!J68"")"),0)</f>
        <v>0</v>
      </c>
      <c r="K138" s="274">
        <f ca="1">IF(I138&gt;0,J138*100/I138,0)</f>
        <v>0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2" t="s">
        <v>17</v>
      </c>
      <c r="E140" s="573"/>
      <c r="F140" s="573"/>
      <c r="G140" s="573"/>
      <c r="H140" s="153" t="s">
        <v>12</v>
      </c>
      <c r="I140" s="166"/>
      <c r="J140" s="166"/>
      <c r="K140" s="167"/>
      <c r="L140" s="156">
        <f t="shared" ref="L140:N140" ca="1" si="64">L141+L142</f>
        <v>27187</v>
      </c>
      <c r="M140" s="156">
        <f t="shared" ca="1" si="64"/>
        <v>27187</v>
      </c>
      <c r="N140" s="156">
        <f t="shared" ca="1" si="64"/>
        <v>27187</v>
      </c>
      <c r="O140" s="155">
        <f t="shared" ref="O140:O142" ca="1" si="65">IF(L140&gt;0,N140*100/L140,0)</f>
        <v>100</v>
      </c>
      <c r="P140" s="155">
        <f t="shared" ref="P140:P142" ca="1" si="66">IF(M140&gt;0,N140*100/M140,0)</f>
        <v>100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27187</v>
      </c>
      <c r="M142" s="161">
        <f t="shared" ca="1" si="68"/>
        <v>27187</v>
      </c>
      <c r="N142" s="161">
        <f t="shared" ca="1" si="68"/>
        <v>27187</v>
      </c>
      <c r="O142" s="160">
        <f t="shared" ca="1" si="65"/>
        <v>100</v>
      </c>
      <c r="P142" s="160">
        <f t="shared" ca="1" si="66"/>
        <v>100</v>
      </c>
    </row>
    <row r="143" spans="1:16" ht="21.75" customHeight="1" x14ac:dyDescent="0.3">
      <c r="A143" s="162"/>
      <c r="B143" s="163"/>
      <c r="C143" s="163" t="s">
        <v>16</v>
      </c>
      <c r="D143" s="574" t="s">
        <v>20</v>
      </c>
      <c r="E143" s="575"/>
      <c r="F143" s="575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27187</v>
      </c>
      <c r="M144" s="173">
        <f ca="1">IFERROR(__xludf.DUMMYFUNCTION("IMPORTRANGE(""https://docs.google.com/spreadsheets/d/1Yj_ptqi66GCucihVvJfMjLAmec39IyEx_6qawtMGysU/edit?usp=sharing"",""สบก!BJ89"")"),27187)</f>
        <v>27187</v>
      </c>
      <c r="N144" s="174">
        <f ca="1">IFERROR(__xludf.DUMMYFUNCTION("IMPORTRANGE(""https://docs.google.com/spreadsheets/d/1Yj_ptqi66GCucihVvJfMjLAmec39IyEx_6qawtMGysU/edit?usp=sharing"",""สบก!BK89"")"),27187)</f>
        <v>27187</v>
      </c>
      <c r="O144" s="175">
        <f ca="1">IF(L144&gt;0,N144*100/L144,0)</f>
        <v>100</v>
      </c>
      <c r="P144" s="175">
        <f ca="1">IF(M144&gt;0,N144*100/M144,0)</f>
        <v>100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IFERROR(__xludf.DUMMYFUNCTION("IMPORTRANGE(""https://docs.google.com/spreadsheets/d/1Yj_ptqi66GCucihVvJfMjLAmec39IyEx_6qawtMGysU/edit?usp=sharing"",""สบก!BF89"")"),0)</f>
        <v>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IFERROR(__xludf.DUMMYFUNCTION("IMPORTRANGE(""https://docs.google.com/spreadsheets/d/1Yj_ptqi66GCucihVvJfMjLAmec39IyEx_6qawtMGysU/edit?usp=sharing"",""สบก!BG89"")"),27187)</f>
        <v>27187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6" t="s">
        <v>23</v>
      </c>
      <c r="E147" s="575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IFERROR(__xludf.DUMMYFUNCTION("IMPORTRANGE(""https://docs.google.com/spreadsheets/d/1Yj_ptqi66GCucihVvJfMjLAmec39IyEx_6qawtMGysU/edit?usp=sharing"",""สบก!BH89"")"),0)</f>
        <v>0</v>
      </c>
      <c r="M148" s="101"/>
      <c r="N148" s="91">
        <f ca="1">IFERROR(__xludf.DUMMYFUNCTION("IMPORTRANGE(""https://docs.google.com/spreadsheets/d/1Yj_ptqi66GCucihVvJfMjLAmec39IyEx_6qawtMGysU/edit?usp=sharing"",""สบก!BL89"")"),0)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IFERROR(__xludf.DUMMYFUNCTION("IMPORTRANGE(""https://docs.google.com/spreadsheets/d/1IYY_tgx_IHuhSq3AJ5eI5OnqOPBNLWSHKh2a30DoXe8/edit?usp=sharing"",""ภูเก็ต!I74"")"),4)</f>
        <v>4</v>
      </c>
      <c r="J149" s="281">
        <f ca="1">IFERROR(__xludf.DUMMYFUNCTION("IMPORTRANGE(""https://docs.google.com/spreadsheets/d/1IYY_tgx_IHuhSq3AJ5eI5OnqOPBNLWSHKh2a30DoXe8/edit?usp=sharing"",""ภูเก็ต!J74"")"),3)</f>
        <v>3</v>
      </c>
      <c r="K149" s="282">
        <f ca="1">IF(I149&gt;0,J149*100/I149,0)</f>
        <v>75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IFERROR(__xludf.DUMMYFUNCTION("IMPORTRANGE(""https://docs.google.com/spreadsheets/d/1IYY_tgx_IHuhSq3AJ5eI5OnqOPBNLWSHKh2a30DoXe8/edit?usp=sharing"",""ภูเก็ต!J79"")"),0)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IFERROR(__xludf.DUMMYFUNCTION("IMPORTRANGE(""https://docs.google.com/spreadsheets/d/1IYY_tgx_IHuhSq3AJ5eI5OnqOPBNLWSHKh2a30DoXe8/edit?usp=sharing"",""ภูเก็ต!J80"")"),1)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IFERROR(__xludf.DUMMYFUNCTION("IMPORTRANGE(""https://docs.google.com/spreadsheets/d/1IYY_tgx_IHuhSq3AJ5eI5OnqOPBNLWSHKh2a30DoXe8/edit?usp=sharing"",""ภูเก็ต!J81"")"),1)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IFERROR(__xludf.DUMMYFUNCTION("IMPORTRANGE(""https://docs.google.com/spreadsheets/d/1IYY_tgx_IHuhSq3AJ5eI5OnqOPBNLWSHKh2a30DoXe8/edit?usp=sharing"",""ภูเก็ต!J82"")"),1)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IFERROR(__xludf.DUMMYFUNCTION("IMPORTRANGE(""https://docs.google.com/spreadsheets/d/1IYY_tgx_IHuhSq3AJ5eI5OnqOPBNLWSHKh2a30DoXe8/edit?usp=sharing"",""ภูเก็ต!I83"")"),4)</f>
        <v>4</v>
      </c>
      <c r="J158" s="195">
        <f ca="1">IFERROR(__xludf.DUMMYFUNCTION("IMPORTRANGE(""https://docs.google.com/spreadsheets/d/1IYY_tgx_IHuhSq3AJ5eI5OnqOPBNLWSHKh2a30DoXe8/edit?usp=sharing"",""ภูเก็ต!J83"")"),3)</f>
        <v>3</v>
      </c>
      <c r="K158" s="167">
        <f ca="1">IF(I158&gt;0,J158*100/I158,0)</f>
        <v>75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IFERROR(__xludf.DUMMYFUNCTION("IMPORTRANGE(""https://docs.google.com/spreadsheets/d/1IYY_tgx_IHuhSq3AJ5eI5OnqOPBNLWSHKh2a30DoXe8/edit?usp=sharing"",""ภูเก็ต!J84"")"),89)</f>
        <v>89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IFERROR(__xludf.DUMMYFUNCTION("IMPORTRANGE(""https://docs.google.com/spreadsheets/d/1IYY_tgx_IHuhSq3AJ5eI5OnqOPBNLWSHKh2a30DoXe8/edit?usp=sharing"",""ภูเก็ต!J85"")"),89)</f>
        <v>89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IFERROR(__xludf.DUMMYFUNCTION("IMPORTRANGE(""https://docs.google.com/spreadsheets/d/1IYY_tgx_IHuhSq3AJ5eI5OnqOPBNLWSHKh2a30DoXe8/edit?usp=sharing"",""ภูเก็ต!J86"")"),0)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IFERROR(__xludf.DUMMYFUNCTION("IMPORTRANGE(""https://docs.google.com/spreadsheets/d/1IYY_tgx_IHuhSq3AJ5eI5OnqOPBNLWSHKh2a30DoXe8/edit?usp=sharing"",""ภูเก็ต!J87"")"),0)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IFERROR(__xludf.DUMMYFUNCTION("IMPORTRANGE(""https://docs.google.com/spreadsheets/d/1IYY_tgx_IHuhSq3AJ5eI5OnqOPBNLWSHKh2a30DoXe8/edit?usp=sharing"",""ภูเก็ต!J88"")"),0)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IFERROR(__xludf.DUMMYFUNCTION("IMPORTRANGE(""https://docs.google.com/spreadsheets/d/1IYY_tgx_IHuhSq3AJ5eI5OnqOPBNLWSHKh2a30DoXe8/edit?usp=sharing"",""ภูเก็ต!I89"")"),1)</f>
        <v>1</v>
      </c>
      <c r="J164" s="290">
        <f ca="1">IFERROR(__xludf.DUMMYFUNCTION("IMPORTRANGE(""https://docs.google.com/spreadsheets/d/1IYY_tgx_IHuhSq3AJ5eI5OnqOPBNLWSHKh2a30DoXe8/edit?usp=sharing"",""ภูเก็ต!J89"")"),1)</f>
        <v>1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IFERROR(__xludf.DUMMYFUNCTION("IMPORTRANGE(""https://docs.google.com/spreadsheets/d/1IYY_tgx_IHuhSq3AJ5eI5OnqOPBNLWSHKh2a30DoXe8/edit?usp=sharing"",""ภูเก็ต!J94"")"),0)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IFERROR(__xludf.DUMMYFUNCTION("IMPORTRANGE(""https://docs.google.com/spreadsheets/d/1IYY_tgx_IHuhSq3AJ5eI5OnqOPBNLWSHKh2a30DoXe8/edit?usp=sharing"",""ภูเก็ต!J95"")"),1)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IFERROR(__xludf.DUMMYFUNCTION("IMPORTRANGE(""https://docs.google.com/spreadsheets/d/1IYY_tgx_IHuhSq3AJ5eI5OnqOPBNLWSHKh2a30DoXe8/edit?usp=sharing"",""ภูเก็ต!J96"")"),1)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IFERROR(__xludf.DUMMYFUNCTION("IMPORTRANGE(""https://docs.google.com/spreadsheets/d/1IYY_tgx_IHuhSq3AJ5eI5OnqOPBNLWSHKh2a30DoXe8/edit?usp=sharing"",""ภูเก็ต!J97"")"),1)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IFERROR(__xludf.DUMMYFUNCTION("IMPORTRANGE(""https://docs.google.com/spreadsheets/d/1IYY_tgx_IHuhSq3AJ5eI5OnqOPBNLWSHKh2a30DoXe8/edit?usp=sharing"",""ภูเก็ต!I98"")"),1)</f>
        <v>1</v>
      </c>
      <c r="J173" s="195">
        <f ca="1">IFERROR(__xludf.DUMMYFUNCTION("IMPORTRANGE(""https://docs.google.com/spreadsheets/d/1IYY_tgx_IHuhSq3AJ5eI5OnqOPBNLWSHKh2a30DoXe8/edit?usp=sharing"",""ภูเก็ต!J98"")"),1)</f>
        <v>1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IFERROR(__xludf.DUMMYFUNCTION("IMPORTRANGE(""https://docs.google.com/spreadsheets/d/1IYY_tgx_IHuhSq3AJ5eI5OnqOPBNLWSHKh2a30DoXe8/edit?usp=sharing"",""ภูเก็ต!J99"")"),0)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IFERROR(__xludf.DUMMYFUNCTION("IMPORTRANGE(""https://docs.google.com/spreadsheets/d/1IYY_tgx_IHuhSq3AJ5eI5OnqOPBNLWSHKh2a30DoXe8/edit?usp=sharing"",""ภูเก็ต!J100"")"),0)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IFERROR(__xludf.DUMMYFUNCTION("IMPORTRANGE(""https://docs.google.com/spreadsheets/d/1IYY_tgx_IHuhSq3AJ5eI5OnqOPBNLWSHKh2a30DoXe8/edit?usp=sharing"",""ภูเก็ต!I101"")"),0)</f>
        <v>0</v>
      </c>
      <c r="J176" s="290">
        <f ca="1">IFERROR(__xludf.DUMMYFUNCTION("IMPORTRANGE(""https://docs.google.com/spreadsheets/d/1IYY_tgx_IHuhSq3AJ5eI5OnqOPBNLWSHKh2a30DoXe8/edit?usp=sharing"",""ภูเก็ต!J101"")"),0)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IFERROR(__xludf.DUMMYFUNCTION("IMPORTRANGE(""https://docs.google.com/spreadsheets/d/1IYY_tgx_IHuhSq3AJ5eI5OnqOPBNLWSHKh2a30DoXe8/edit?usp=sharing"",""ภูเก็ต!J106"")"),0)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IFERROR(__xludf.DUMMYFUNCTION("IMPORTRANGE(""https://docs.google.com/spreadsheets/d/1IYY_tgx_IHuhSq3AJ5eI5OnqOPBNLWSHKh2a30DoXe8/edit?usp=sharing"",""ภูเก็ต!J107"")"),0)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IFERROR(__xludf.DUMMYFUNCTION("IMPORTRANGE(""https://docs.google.com/spreadsheets/d/1IYY_tgx_IHuhSq3AJ5eI5OnqOPBNLWSHKh2a30DoXe8/edit?usp=sharing"",""ภูเก็ต!J108"")"),0)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IFERROR(__xludf.DUMMYFUNCTION("IMPORTRANGE(""https://docs.google.com/spreadsheets/d/1IYY_tgx_IHuhSq3AJ5eI5OnqOPBNLWSHKh2a30DoXe8/edit?usp=sharing"",""ภูเก็ต!J109"")"),0)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IFERROR(__xludf.DUMMYFUNCTION("IMPORTRANGE(""https://docs.google.com/spreadsheets/d/1IYY_tgx_IHuhSq3AJ5eI5OnqOPBNLWSHKh2a30DoXe8/edit?usp=sharing"",""ภูเก็ต!I110"")"),0)</f>
        <v>0</v>
      </c>
      <c r="J185" s="210">
        <f ca="1">IFERROR(__xludf.DUMMYFUNCTION("IMPORTRANGE(""https://docs.google.com/spreadsheets/d/1IYY_tgx_IHuhSq3AJ5eI5OnqOPBNLWSHKh2a30DoXe8/edit?usp=sharing"",""ภูเก็ต!J110"")"),0)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IFERROR(__xludf.DUMMYFUNCTION("IMPORTRANGE(""https://docs.google.com/spreadsheets/d/1IYY_tgx_IHuhSq3AJ5eI5OnqOPBNLWSHKh2a30DoXe8/edit?usp=sharing"",""ภูเก็ต!I111"")"),0)</f>
        <v>0</v>
      </c>
      <c r="J186" s="210">
        <f ca="1">IFERROR(__xludf.DUMMYFUNCTION("IMPORTRANGE(""https://docs.google.com/spreadsheets/d/1IYY_tgx_IHuhSq3AJ5eI5OnqOPBNLWSHKh2a30DoXe8/edit?usp=sharing"",""ภูเก็ต!J111"")"),0)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IFERROR(__xludf.DUMMYFUNCTION("IMPORTRANGE(""https://docs.google.com/spreadsheets/d/1IYY_tgx_IHuhSq3AJ5eI5OnqOPBNLWSHKh2a30DoXe8/edit?usp=sharing"",""ภูเก็ต!J112"")"),0)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IFERROR(__xludf.DUMMYFUNCTION("IMPORTRANGE(""https://docs.google.com/spreadsheets/d/1IYY_tgx_IHuhSq3AJ5eI5OnqOPBNLWSHKh2a30DoXe8/edit?usp=sharing"",""ภูเก็ต!J113"")"),0)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IFERROR(__xludf.DUMMYFUNCTION("IMPORTRANGE(""https://docs.google.com/spreadsheets/d/1IYY_tgx_IHuhSq3AJ5eI5OnqOPBNLWSHKh2a30DoXe8/edit?usp=sharing"",""ภูเก็ต!I114"")"),0)</f>
        <v>0</v>
      </c>
      <c r="J189" s="290">
        <f ca="1">IFERROR(__xludf.DUMMYFUNCTION("IMPORTRANGE(""https://docs.google.com/spreadsheets/d/1IYY_tgx_IHuhSq3AJ5eI5OnqOPBNLWSHKh2a30DoXe8/edit?usp=sharing"",""ภูเก็ต!J114"")"),0)</f>
        <v>0</v>
      </c>
      <c r="K189" s="291">
        <f ca="1">IF(I189&gt;0,J189*100/I189,0)</f>
        <v>0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IFERROR(__xludf.DUMMYFUNCTION("IMPORTRANGE(""https://docs.google.com/spreadsheets/d/1IYY_tgx_IHuhSq3AJ5eI5OnqOPBNLWSHKh2a30DoXe8/edit?usp=sharing"",""ภูเก็ต!J119"")"),0)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IFERROR(__xludf.DUMMYFUNCTION("IMPORTRANGE(""https://docs.google.com/spreadsheets/d/1IYY_tgx_IHuhSq3AJ5eI5OnqOPBNLWSHKh2a30DoXe8/edit?usp=sharing"",""ภูเก็ต!J120"")"),0)</f>
        <v>0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IFERROR(__xludf.DUMMYFUNCTION("IMPORTRANGE(""https://docs.google.com/spreadsheets/d/1IYY_tgx_IHuhSq3AJ5eI5OnqOPBNLWSHKh2a30DoXe8/edit?usp=sharing"",""ภูเก็ต!J121"")"),0)</f>
        <v>0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IFERROR(__xludf.DUMMYFUNCTION("IMPORTRANGE(""https://docs.google.com/spreadsheets/d/1IYY_tgx_IHuhSq3AJ5eI5OnqOPBNLWSHKh2a30DoXe8/edit?usp=sharing"",""ภูเก็ต!J122"")"),0)</f>
        <v>0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IFERROR(__xludf.DUMMYFUNCTION("IMPORTRANGE(""https://docs.google.com/spreadsheets/d/1IYY_tgx_IHuhSq3AJ5eI5OnqOPBNLWSHKh2a30DoXe8/edit?usp=sharing"",""ภูเก็ต!I124"")"),0)</f>
        <v>0</v>
      </c>
      <c r="J199" s="195">
        <f ca="1">IFERROR(__xludf.DUMMYFUNCTION("IMPORTRANGE(""https://docs.google.com/spreadsheets/d/1IYY_tgx_IHuhSq3AJ5eI5OnqOPBNLWSHKh2a30DoXe8/edit?usp=sharing"",""ภูเก็ต!J124"")"),0)</f>
        <v>0</v>
      </c>
      <c r="K199" s="167">
        <f t="shared" ref="K199:K201" ca="1" si="70">IF(I199&gt;0,J199*100/I199,0)</f>
        <v>0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IFERROR(__xludf.DUMMYFUNCTION("IMPORTRANGE(""https://docs.google.com/spreadsheets/d/1IYY_tgx_IHuhSq3AJ5eI5OnqOPBNLWSHKh2a30DoXe8/edit?usp=sharing"",""ภูเก็ต!I125"")"),0)</f>
        <v>0</v>
      </c>
      <c r="J200" s="195">
        <f ca="1">IFERROR(__xludf.DUMMYFUNCTION("IMPORTRANGE(""https://docs.google.com/spreadsheets/d/1IYY_tgx_IHuhSq3AJ5eI5OnqOPBNLWSHKh2a30DoXe8/edit?usp=sharing"",""ภูเก็ต!J125"")"),0)</f>
        <v>0</v>
      </c>
      <c r="K200" s="167">
        <f t="shared" ca="1" si="70"/>
        <v>0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IFERROR(__xludf.DUMMYFUNCTION("IMPORTRANGE(""https://docs.google.com/spreadsheets/d/1IYY_tgx_IHuhSq3AJ5eI5OnqOPBNLWSHKh2a30DoXe8/edit?usp=sharing"",""ภูเก็ต!I126"")"),0)</f>
        <v>0</v>
      </c>
      <c r="J201" s="195">
        <f ca="1">IFERROR(__xludf.DUMMYFUNCTION("IMPORTRANGE(""https://docs.google.com/spreadsheets/d/1IYY_tgx_IHuhSq3AJ5eI5OnqOPBNLWSHKh2a30DoXe8/edit?usp=sharing"",""ภูเก็ต!J126"")"),0)</f>
        <v>0</v>
      </c>
      <c r="K201" s="167">
        <f t="shared" ca="1" si="70"/>
        <v>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IFERROR(__xludf.DUMMYFUNCTION("IMPORTRANGE(""https://docs.google.com/spreadsheets/d/1IYY_tgx_IHuhSq3AJ5eI5OnqOPBNLWSHKh2a30DoXe8/edit?usp=sharing"",""ภูเก็ต!J127"")"),0)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IFERROR(__xludf.DUMMYFUNCTION("IMPORTRANGE(""https://docs.google.com/spreadsheets/d/1IYY_tgx_IHuhSq3AJ5eI5OnqOPBNLWSHKh2a30DoXe8/edit?usp=sharing"",""ภูเก็ต!J128"")"),0)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IFERROR(__xludf.DUMMYFUNCTION("IMPORTRANGE(""https://docs.google.com/spreadsheets/d/1IYY_tgx_IHuhSq3AJ5eI5OnqOPBNLWSHKh2a30DoXe8/edit?usp=sharing"",""ภูเก็ต!I129"")"),0)</f>
        <v>0</v>
      </c>
      <c r="J204" s="290">
        <f ca="1">IFERROR(__xludf.DUMMYFUNCTION("IMPORTRANGE(""https://docs.google.com/spreadsheets/d/1IYY_tgx_IHuhSq3AJ5eI5OnqOPBNLWSHKh2a30DoXe8/edit?usp=sharing"",""ภูเก็ต!J129"")"),0)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IFERROR(__xludf.DUMMYFUNCTION("IMPORTRANGE(""https://docs.google.com/spreadsheets/d/1IYY_tgx_IHuhSq3AJ5eI5OnqOPBNLWSHKh2a30DoXe8/edit?usp=sharing"",""ภูเก็ต!J134"")"),0)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IFERROR(__xludf.DUMMYFUNCTION("IMPORTRANGE(""https://docs.google.com/spreadsheets/d/1IYY_tgx_IHuhSq3AJ5eI5OnqOPBNLWSHKh2a30DoXe8/edit?usp=sharing"",""ภูเก็ต!J135"")"),0)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IFERROR(__xludf.DUMMYFUNCTION("IMPORTRANGE(""https://docs.google.com/spreadsheets/d/1IYY_tgx_IHuhSq3AJ5eI5OnqOPBNLWSHKh2a30DoXe8/edit?usp=sharing"",""ภูเก็ต!J136"")"),0)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IFERROR(__xludf.DUMMYFUNCTION("IMPORTRANGE(""https://docs.google.com/spreadsheets/d/1IYY_tgx_IHuhSq3AJ5eI5OnqOPBNLWSHKh2a30DoXe8/edit?usp=sharing"",""ภูเก็ต!J137"")"),0)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IFERROR(__xludf.DUMMYFUNCTION("IMPORTRANGE(""https://docs.google.com/spreadsheets/d/1IYY_tgx_IHuhSq3AJ5eI5OnqOPBNLWSHKh2a30DoXe8/edit?usp=sharing"",""ภูเก็ต!I138"")"),0)</f>
        <v>0</v>
      </c>
      <c r="J213" s="210">
        <f ca="1">IFERROR(__xludf.DUMMYFUNCTION("IMPORTRANGE(""https://docs.google.com/spreadsheets/d/1IYY_tgx_IHuhSq3AJ5eI5OnqOPBNLWSHKh2a30DoXe8/edit?usp=sharing"",""ภูเก็ต!J138"")"),0)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IFERROR(__xludf.DUMMYFUNCTION("IMPORTRANGE(""https://docs.google.com/spreadsheets/d/1IYY_tgx_IHuhSq3AJ5eI5OnqOPBNLWSHKh2a30DoXe8/edit?usp=sharing"",""ภูเก็ต!I140"")"),0)</f>
        <v>0</v>
      </c>
      <c r="J215" s="210">
        <f ca="1">IFERROR(__xludf.DUMMYFUNCTION("IMPORTRANGE(""https://docs.google.com/spreadsheets/d/1IYY_tgx_IHuhSq3AJ5eI5OnqOPBNLWSHKh2a30DoXe8/edit?usp=sharing"",""ภูเก็ต!J140"")"),0)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IFERROR(__xludf.DUMMYFUNCTION("IMPORTRANGE(""https://docs.google.com/spreadsheets/d/1IYY_tgx_IHuhSq3AJ5eI5OnqOPBNLWSHKh2a30DoXe8/edit?usp=sharing"",""ภูเก็ต!I141"")"),0)</f>
        <v>0</v>
      </c>
      <c r="J216" s="210">
        <f ca="1">IFERROR(__xludf.DUMMYFUNCTION("IMPORTRANGE(""https://docs.google.com/spreadsheets/d/1IYY_tgx_IHuhSq3AJ5eI5OnqOPBNLWSHKh2a30DoXe8/edit?usp=sharing"",""ภูเก็ต!J141"")"),0)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IFERROR(__xludf.DUMMYFUNCTION("IMPORTRANGE(""https://docs.google.com/spreadsheets/d/1IYY_tgx_IHuhSq3AJ5eI5OnqOPBNLWSHKh2a30DoXe8/edit?usp=sharing"",""ภูเก็ต!J142"")"),0)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IFERROR(__xludf.DUMMYFUNCTION("IMPORTRANGE(""https://docs.google.com/spreadsheets/d/1IYY_tgx_IHuhSq3AJ5eI5OnqOPBNLWSHKh2a30DoXe8/edit?usp=sharing"",""ภูเก็ต!J143"")"),0)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IFERROR(__xludf.DUMMYFUNCTION("IMPORTRANGE(""https://docs.google.com/spreadsheets/d/1IYY_tgx_IHuhSq3AJ5eI5OnqOPBNLWSHKh2a30DoXe8/edit?usp=sharing"",""ภูเก็ต!I144"")"),13)</f>
        <v>13</v>
      </c>
      <c r="J219" s="273">
        <f ca="1">IFERROR(__xludf.DUMMYFUNCTION("IMPORTRANGE(""https://docs.google.com/spreadsheets/d/1IYY_tgx_IHuhSq3AJ5eI5OnqOPBNLWSHKh2a30DoXe8/edit?usp=sharing"",""ภูเก็ต!J144"")"),13)</f>
        <v>13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2" t="s">
        <v>17</v>
      </c>
      <c r="E220" s="573"/>
      <c r="F220" s="573"/>
      <c r="G220" s="573"/>
      <c r="H220" s="153" t="s">
        <v>12</v>
      </c>
      <c r="I220" s="166"/>
      <c r="J220" s="166"/>
      <c r="K220" s="167"/>
      <c r="L220" s="156">
        <f t="shared" ref="L220:N220" ca="1" si="72">L221+L222</f>
        <v>30995</v>
      </c>
      <c r="M220" s="156">
        <f t="shared" ca="1" si="72"/>
        <v>63275</v>
      </c>
      <c r="N220" s="156">
        <f t="shared" ca="1" si="72"/>
        <v>58855</v>
      </c>
      <c r="O220" s="155">
        <f t="shared" ref="O220:O222" ca="1" si="73">IF(L220&gt;0,N220*100/L220,0)</f>
        <v>189.88546539764479</v>
      </c>
      <c r="P220" s="155">
        <f t="shared" ref="P220:P222" ca="1" si="74">IF(M220&gt;0,N220*100/M220,0)</f>
        <v>93.014618727775584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30995</v>
      </c>
      <c r="M222" s="161">
        <f t="shared" ca="1" si="76"/>
        <v>63275</v>
      </c>
      <c r="N222" s="161">
        <f t="shared" ca="1" si="76"/>
        <v>58855</v>
      </c>
      <c r="O222" s="160">
        <f t="shared" ca="1" si="73"/>
        <v>189.88546539764479</v>
      </c>
      <c r="P222" s="160">
        <f t="shared" ca="1" si="74"/>
        <v>93.014618727775584</v>
      </c>
    </row>
    <row r="223" spans="1:16" ht="21.75" customHeight="1" x14ac:dyDescent="0.3">
      <c r="A223" s="162"/>
      <c r="B223" s="163"/>
      <c r="C223" s="163" t="s">
        <v>16</v>
      </c>
      <c r="D223" s="574" t="s">
        <v>20</v>
      </c>
      <c r="E223" s="575"/>
      <c r="F223" s="575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30995</v>
      </c>
      <c r="M224" s="173">
        <f ca="1">IFERROR(__xludf.DUMMYFUNCTION("IMPORTRANGE(""https://docs.google.com/spreadsheets/d/1Yj_ptqi66GCucihVvJfMjLAmec39IyEx_6qawtMGysU/edit?usp=sharing"",""สบก!BS89"")"),63275)</f>
        <v>63275</v>
      </c>
      <c r="N224" s="174">
        <f ca="1">IFERROR(__xludf.DUMMYFUNCTION("IMPORTRANGE(""https://docs.google.com/spreadsheets/d/1Yj_ptqi66GCucihVvJfMjLAmec39IyEx_6qawtMGysU/edit?usp=sharing"",""สบก!BT89"")"),58855)</f>
        <v>58855</v>
      </c>
      <c r="O224" s="175">
        <f ca="1">IF(L224&gt;0,N224*100/L224,0)</f>
        <v>189.88546539764479</v>
      </c>
      <c r="P224" s="175">
        <f ca="1">IF(M224&gt;0,N224*100/M224,0)</f>
        <v>93.014618727775584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IFERROR(__xludf.DUMMYFUNCTION("IMPORTRANGE(""https://docs.google.com/spreadsheets/d/1Yj_ptqi66GCucihVvJfMjLAmec39IyEx_6qawtMGysU/edit?usp=sharing"",""สบก!BO89"")"),0)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IFERROR(__xludf.DUMMYFUNCTION("IMPORTRANGE(""https://docs.google.com/spreadsheets/d/1Yj_ptqi66GCucihVvJfMjLAmec39IyEx_6qawtMGysU/edit?usp=sharing"",""สบก!BP89"")"),30995)</f>
        <v>30995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6" t="s">
        <v>23</v>
      </c>
      <c r="E227" s="575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IFERROR(__xludf.DUMMYFUNCTION("IMPORTRANGE(""https://docs.google.com/spreadsheets/d/1Yj_ptqi66GCucihVvJfMjLAmec39IyEx_6qawtMGysU/edit?usp=sharing"",""สบก!BQ89"")"),0)</f>
        <v>0</v>
      </c>
      <c r="M228" s="101"/>
      <c r="N228" s="91">
        <f ca="1">IFERROR(__xludf.DUMMYFUNCTION("IMPORTRANGE(""https://docs.google.com/spreadsheets/d/1Yj_ptqi66GCucihVvJfMjLAmec39IyEx_6qawtMGysU/edit?usp=sharing"",""สบก!BU89"")"),0)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IFERROR(__xludf.DUMMYFUNCTION("IMPORTRANGE(""https://docs.google.com/spreadsheets/d/1IYY_tgx_IHuhSq3AJ5eI5OnqOPBNLWSHKh2a30DoXe8/edit?usp=sharing"",""ภูเก็ต!I149"")"),13)</f>
        <v>13</v>
      </c>
      <c r="J229" s="273">
        <f ca="1">IFERROR(__xludf.DUMMYFUNCTION("IMPORTRANGE(""https://docs.google.com/spreadsheets/d/1IYY_tgx_IHuhSq3AJ5eI5OnqOPBNLWSHKh2a30DoXe8/edit?usp=sharing"",""ภูเก็ต!J149"")"),13)</f>
        <v>13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IFERROR(__xludf.DUMMYFUNCTION("IMPORTRANGE(""https://docs.google.com/spreadsheets/d/1IYY_tgx_IHuhSq3AJ5eI5OnqOPBNLWSHKh2a30DoXe8/edit?usp=sharing"",""ภูเก็ต!J151"")"),0)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IFERROR(__xludf.DUMMYFUNCTION("IMPORTRANGE(""https://docs.google.com/spreadsheets/d/1IYY_tgx_IHuhSq3AJ5eI5OnqOPBNLWSHKh2a30DoXe8/edit?usp=sharing"",""ภูเก็ต!J152"")"),1)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IFERROR(__xludf.DUMMYFUNCTION("IMPORTRANGE(""https://docs.google.com/spreadsheets/d/1IYY_tgx_IHuhSq3AJ5eI5OnqOPBNLWSHKh2a30DoXe8/edit?usp=sharing"",""ภูเก็ต!J153"")"),1)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IFERROR(__xludf.DUMMYFUNCTION("IMPORTRANGE(""https://docs.google.com/spreadsheets/d/1IYY_tgx_IHuhSq3AJ5eI5OnqOPBNLWSHKh2a30DoXe8/edit?usp=sharing"",""ภูเก็ต!J154"")"),1)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IFERROR(__xludf.DUMMYFUNCTION("IMPORTRANGE(""https://docs.google.com/spreadsheets/d/1IYY_tgx_IHuhSq3AJ5eI5OnqOPBNLWSHKh2a30DoXe8/edit?usp=sharing"",""ภูเก็ต!I155"")"),13)</f>
        <v>13</v>
      </c>
      <c r="J235" s="195">
        <f ca="1">IFERROR(__xludf.DUMMYFUNCTION("IMPORTRANGE(""https://docs.google.com/spreadsheets/d/1IYY_tgx_IHuhSq3AJ5eI5OnqOPBNLWSHKh2a30DoXe8/edit?usp=sharing"",""ภูเก็ต!J155"")"),13)</f>
        <v>13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IFERROR(__xludf.DUMMYFUNCTION("IMPORTRANGE(""https://docs.google.com/spreadsheets/d/1IYY_tgx_IHuhSq3AJ5eI5OnqOPBNLWSHKh2a30DoXe8/edit?usp=sharing"",""ภูเก็ต!J156"")"),0)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IFERROR(__xludf.DUMMYFUNCTION("IMPORTRANGE(""https://docs.google.com/spreadsheets/d/1IYY_tgx_IHuhSq3AJ5eI5OnqOPBNLWSHKh2a30DoXe8/edit?usp=sharing"",""ภูเก็ต!J157"")"),0)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IFERROR(__xludf.DUMMYFUNCTION("IMPORTRANGE(""https://docs.google.com/spreadsheets/d/1IYY_tgx_IHuhSq3AJ5eI5OnqOPBNLWSHKh2a30DoXe8/edit?usp=sharing"",""ภูเก็ต!I158"")"),0)</f>
        <v>0</v>
      </c>
      <c r="J238" s="273">
        <f ca="1">IFERROR(__xludf.DUMMYFUNCTION("IMPORTRANGE(""https://docs.google.com/spreadsheets/d/1IYY_tgx_IHuhSq3AJ5eI5OnqOPBNLWSHKh2a30DoXe8/edit?usp=sharing"",""ภูเก็ต!J158"")"),0)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IFERROR(__xludf.DUMMYFUNCTION("IMPORTRANGE(""https://docs.google.com/spreadsheets/d/1IYY_tgx_IHuhSq3AJ5eI5OnqOPBNLWSHKh2a30DoXe8/edit?usp=sharing"",""ภูเก็ต!J159"")"),"")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IFERROR(__xludf.DUMMYFUNCTION("IMPORTRANGE(""https://docs.google.com/spreadsheets/d/1IYY_tgx_IHuhSq3AJ5eI5OnqOPBNLWSHKh2a30DoXe8/edit?usp=sharing"",""ภูเก็ต!J161"")"),0)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IFERROR(__xludf.DUMMYFUNCTION("IMPORTRANGE(""https://docs.google.com/spreadsheets/d/1IYY_tgx_IHuhSq3AJ5eI5OnqOPBNLWSHKh2a30DoXe8/edit?usp=sharing"",""ภูเก็ต!J162"")"),0)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IFERROR(__xludf.DUMMYFUNCTION("IMPORTRANGE(""https://docs.google.com/spreadsheets/d/1IYY_tgx_IHuhSq3AJ5eI5OnqOPBNLWSHKh2a30DoXe8/edit?usp=sharing"",""ภูเก็ต!J163"")"),0)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IFERROR(__xludf.DUMMYFUNCTION("IMPORTRANGE(""https://docs.google.com/spreadsheets/d/1IYY_tgx_IHuhSq3AJ5eI5OnqOPBNLWSHKh2a30DoXe8/edit?usp=sharing"",""ภูเก็ต!I164"")"),0)</f>
        <v>0</v>
      </c>
      <c r="J244" s="194">
        <f ca="1">IFERROR(__xludf.DUMMYFUNCTION("IMPORTRANGE(""https://docs.google.com/spreadsheets/d/1IYY_tgx_IHuhSq3AJ5eI5OnqOPBNLWSHKh2a30DoXe8/edit?usp=sharing"",""ภูเก็ต!J164"")"),0)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IFERROR(__xludf.DUMMYFUNCTION("IMPORTRANGE(""https://docs.google.com/spreadsheets/d/1IYY_tgx_IHuhSq3AJ5eI5OnqOPBNLWSHKh2a30DoXe8/edit?usp=sharing"",""ภูเก็ต!J165"")"),0)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IFERROR(__xludf.DUMMYFUNCTION("IMPORTRANGE(""https://docs.google.com/spreadsheets/d/1IYY_tgx_IHuhSq3AJ5eI5OnqOPBNLWSHKh2a30DoXe8/edit?usp=sharing"",""ภูเก็ต!J166"")"),0)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IFERROR(__xludf.DUMMYFUNCTION("IMPORTRANGE(""https://docs.google.com/spreadsheets/d/1IYY_tgx_IHuhSq3AJ5eI5OnqOPBNLWSHKh2a30DoXe8/edit?usp=sharing"",""ภูเก็ต!I169"")"),0)</f>
        <v>0</v>
      </c>
      <c r="J249" s="322">
        <f ca="1">IFERROR(__xludf.DUMMYFUNCTION("IMPORTRANGE(""https://docs.google.com/spreadsheets/d/1IYY_tgx_IHuhSq3AJ5eI5OnqOPBNLWSHKh2a30DoXe8/edit?usp=sharing"",""ภูเก็ต!J169"")"),0)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2" t="s">
        <v>17</v>
      </c>
      <c r="E250" s="573"/>
      <c r="F250" s="573"/>
      <c r="G250" s="573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3">
      <c r="A253" s="162"/>
      <c r="B253" s="163"/>
      <c r="C253" s="163" t="s">
        <v>16</v>
      </c>
      <c r="D253" s="574" t="s">
        <v>20</v>
      </c>
      <c r="E253" s="575"/>
      <c r="F253" s="575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IFERROR(__xludf.DUMMYFUNCTION("IMPORTRANGE(""https://docs.google.com/spreadsheets/d/1Yj_ptqi66GCucihVvJfMjLAmec39IyEx_6qawtMGysU/edit?usp=sharing"",""สบก!CB89"")"),0)</f>
        <v>0</v>
      </c>
      <c r="N254" s="174">
        <f ca="1">IFERROR(__xludf.DUMMYFUNCTION("IMPORTRANGE(""https://docs.google.com/spreadsheets/d/1Yj_ptqi66GCucihVvJfMjLAmec39IyEx_6qawtMGysU/edit?usp=sharing"",""สบก!CC89"")"),0)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IFERROR(__xludf.DUMMYFUNCTION("IMPORTRANGE(""https://docs.google.com/spreadsheets/d/1Yj_ptqi66GCucihVvJfMjLAmec39IyEx_6qawtMGysU/edit?usp=sharing"",""สบก!BX89"")"),0)</f>
        <v>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IFERROR(__xludf.DUMMYFUNCTION("IMPORTRANGE(""https://docs.google.com/spreadsheets/d/1Yj_ptqi66GCucihVvJfMjLAmec39IyEx_6qawtMGysU/edit?usp=sharing"",""สบก!BY89"")"),0)</f>
        <v>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6" t="s">
        <v>23</v>
      </c>
      <c r="E257" s="575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IFERROR(__xludf.DUMMYFUNCTION("IMPORTRANGE(""https://docs.google.com/spreadsheets/d/1Yj_ptqi66GCucihVvJfMjLAmec39IyEx_6qawtMGysU/edit?usp=sharing"",""สบก!BZ89"")"),0)</f>
        <v>0</v>
      </c>
      <c r="M258" s="101"/>
      <c r="N258" s="91">
        <f ca="1">IFERROR(__xludf.DUMMYFUNCTION("IMPORTRANGE(""https://docs.google.com/spreadsheets/d/1Yj_ptqi66GCucihVvJfMjLAmec39IyEx_6qawtMGysU/edit?usp=sharing"",""สบก!CD89"")"),0)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IFERROR(__xludf.DUMMYFUNCTION("IMPORTRANGE(""https://docs.google.com/spreadsheets/d/1IYY_tgx_IHuhSq3AJ5eI5OnqOPBNLWSHKh2a30DoXe8/edit?usp=sharing"",""ภูเก็ต!J175"")"),0)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IFERROR(__xludf.DUMMYFUNCTION("IMPORTRANGE(""https://docs.google.com/spreadsheets/d/1IYY_tgx_IHuhSq3AJ5eI5OnqOPBNLWSHKh2a30DoXe8/edit?usp=sharing"",""ภูเก็ต!J176"")"),0)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IFERROR(__xludf.DUMMYFUNCTION("IMPORTRANGE(""https://docs.google.com/spreadsheets/d/1IYY_tgx_IHuhSq3AJ5eI5OnqOPBNLWSHKh2a30DoXe8/edit?usp=sharing"",""ภูเก็ต!J177"")"),0)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IFERROR(__xludf.DUMMYFUNCTION("IMPORTRANGE(""https://docs.google.com/spreadsheets/d/1IYY_tgx_IHuhSq3AJ5eI5OnqOPBNLWSHKh2a30DoXe8/edit?usp=sharing"",""ภูเก็ต!J178"")"),0)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IFERROR(__xludf.DUMMYFUNCTION("IMPORTRANGE(""https://docs.google.com/spreadsheets/d/1IYY_tgx_IHuhSq3AJ5eI5OnqOPBNLWSHKh2a30DoXe8/edit?usp=sharing"",""ภูเก็ต!I179"")"),0)</f>
        <v>0</v>
      </c>
      <c r="J264" s="195">
        <f ca="1">IFERROR(__xludf.DUMMYFUNCTION("IMPORTRANGE(""https://docs.google.com/spreadsheets/d/1IYY_tgx_IHuhSq3AJ5eI5OnqOPBNLWSHKh2a30DoXe8/edit?usp=sharing"",""ภูเก็ต!J179"")"),0)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IFERROR(__xludf.DUMMYFUNCTION("IMPORTRANGE(""https://docs.google.com/spreadsheets/d/1IYY_tgx_IHuhSq3AJ5eI5OnqOPBNLWSHKh2a30DoXe8/edit?usp=sharing"",""ภูเก็ต!I180"")"),0)</f>
        <v>0</v>
      </c>
      <c r="J265" s="195">
        <f ca="1">IFERROR(__xludf.DUMMYFUNCTION("IMPORTRANGE(""https://docs.google.com/spreadsheets/d/1IYY_tgx_IHuhSq3AJ5eI5OnqOPBNLWSHKh2a30DoXe8/edit?usp=sharing"",""ภูเก็ต!J180"")"),0)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IFERROR(__xludf.DUMMYFUNCTION("IMPORTRANGE(""https://docs.google.com/spreadsheets/d/1IYY_tgx_IHuhSq3AJ5eI5OnqOPBNLWSHKh2a30DoXe8/edit?usp=sharing"",""ภูเก็ต!I181"")"),0)</f>
        <v>0</v>
      </c>
      <c r="J266" s="195">
        <f ca="1">IFERROR(__xludf.DUMMYFUNCTION("IMPORTRANGE(""https://docs.google.com/spreadsheets/d/1IYY_tgx_IHuhSq3AJ5eI5OnqOPBNLWSHKh2a30DoXe8/edit?usp=sharing"",""ภูเก็ต!J181"")"),0)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IFERROR(__xludf.DUMMYFUNCTION("IMPORTRANGE(""https://docs.google.com/spreadsheets/d/1IYY_tgx_IHuhSq3AJ5eI5OnqOPBNLWSHKh2a30DoXe8/edit?usp=sharing"",""ภูเก็ต!I182"")"),0)</f>
        <v>0</v>
      </c>
      <c r="J267" s="195">
        <f ca="1">IFERROR(__xludf.DUMMYFUNCTION("IMPORTRANGE(""https://docs.google.com/spreadsheets/d/1IYY_tgx_IHuhSq3AJ5eI5OnqOPBNLWSHKh2a30DoXe8/edit?usp=sharing"",""ภูเก็ต!J182"")"),0)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IFERROR(__xludf.DUMMYFUNCTION("IMPORTRANGE(""https://docs.google.com/spreadsheets/d/1IYY_tgx_IHuhSq3AJ5eI5OnqOPBNLWSHKh2a30DoXe8/edit?usp=sharing"",""ภูเก็ต!J183"")"),0)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IFERROR(__xludf.DUMMYFUNCTION("IMPORTRANGE(""https://docs.google.com/spreadsheets/d/1IYY_tgx_IHuhSq3AJ5eI5OnqOPBNLWSHKh2a30DoXe8/edit?usp=sharing"",""ภูเก็ต!J184"")"),0)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IFERROR(__xludf.DUMMYFUNCTION("IMPORTRANGE(""https://docs.google.com/spreadsheets/d/1IYY_tgx_IHuhSq3AJ5eI5OnqOPBNLWSHKh2a30DoXe8/edit?usp=sharing"",""ภูเก็ต!I185"")"),0)</f>
        <v>0</v>
      </c>
      <c r="J270" s="322">
        <f ca="1">IFERROR(__xludf.DUMMYFUNCTION("IMPORTRANGE(""https://docs.google.com/spreadsheets/d/1IYY_tgx_IHuhSq3AJ5eI5OnqOPBNLWSHKh2a30DoXe8/edit?usp=sharing"",""ภูเก็ต!J185"")"),0)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2" t="s">
        <v>17</v>
      </c>
      <c r="E271" s="573"/>
      <c r="F271" s="573"/>
      <c r="G271" s="573"/>
      <c r="H271" s="153" t="s">
        <v>12</v>
      </c>
      <c r="I271" s="166"/>
      <c r="J271" s="166"/>
      <c r="K271" s="167"/>
      <c r="L271" s="156">
        <f t="shared" ref="L271:N271" ca="1" si="83">L272+L273</f>
        <v>0</v>
      </c>
      <c r="M271" s="156">
        <f t="shared" ca="1" si="83"/>
        <v>0</v>
      </c>
      <c r="N271" s="156">
        <f t="shared" ca="1" si="83"/>
        <v>0</v>
      </c>
      <c r="O271" s="155">
        <f t="shared" ref="O271:O273" ca="1" si="84">IF(L271&gt;0,N271*100/L271,0)</f>
        <v>0</v>
      </c>
      <c r="P271" s="155">
        <f t="shared" ref="P271:P273" ca="1" si="85">IF(M271&gt;0,N271*100/M271,0)</f>
        <v>0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0</v>
      </c>
      <c r="M273" s="161">
        <f t="shared" ca="1" si="87"/>
        <v>0</v>
      </c>
      <c r="N273" s="161">
        <f t="shared" ca="1" si="87"/>
        <v>0</v>
      </c>
      <c r="O273" s="160">
        <f t="shared" ca="1" si="84"/>
        <v>0</v>
      </c>
      <c r="P273" s="160">
        <f t="shared" ca="1" si="85"/>
        <v>0</v>
      </c>
    </row>
    <row r="274" spans="1:16" ht="21.75" customHeight="1" x14ac:dyDescent="0.3">
      <c r="A274" s="162"/>
      <c r="B274" s="163"/>
      <c r="C274" s="163" t="s">
        <v>16</v>
      </c>
      <c r="D274" s="574" t="s">
        <v>20</v>
      </c>
      <c r="E274" s="575"/>
      <c r="F274" s="575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0</v>
      </c>
      <c r="M275" s="173">
        <f ca="1">IFERROR(__xludf.DUMMYFUNCTION("IMPORTRANGE(""https://docs.google.com/spreadsheets/d/1Yj_ptqi66GCucihVvJfMjLAmec39IyEx_6qawtMGysU/edit?usp=sharing"",""สบก!CK89"")"),0)</f>
        <v>0</v>
      </c>
      <c r="N275" s="174">
        <f ca="1">IFERROR(__xludf.DUMMYFUNCTION("IMPORTRANGE(""https://docs.google.com/spreadsheets/d/1Yj_ptqi66GCucihVvJfMjLAmec39IyEx_6qawtMGysU/edit?usp=sharing"",""สบก!CL89"")"),0)</f>
        <v>0</v>
      </c>
      <c r="O275" s="175">
        <f ca="1">IF(L275&gt;0,N275*100/L275,0)</f>
        <v>0</v>
      </c>
      <c r="P275" s="175">
        <f ca="1">IF(M275&gt;0,N275*100/M275,0)</f>
        <v>0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IFERROR(__xludf.DUMMYFUNCTION("IMPORTRANGE(""https://docs.google.com/spreadsheets/d/1Yj_ptqi66GCucihVvJfMjLAmec39IyEx_6qawtMGysU/edit?usp=sharing"",""สบก!CG89"")"),0)</f>
        <v>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IFERROR(__xludf.DUMMYFUNCTION("IMPORTRANGE(""https://docs.google.com/spreadsheets/d/1Yj_ptqi66GCucihVvJfMjLAmec39IyEx_6qawtMGysU/edit?usp=sharing"",""สบก!CH89"")"),0)</f>
        <v>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6" t="s">
        <v>23</v>
      </c>
      <c r="E278" s="575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IFERROR(__xludf.DUMMYFUNCTION("IMPORTRANGE(""https://docs.google.com/spreadsheets/d/1Yj_ptqi66GCucihVvJfMjLAmec39IyEx_6qawtMGysU/edit?usp=sharing"",""สบก!CI89"")"),0)</f>
        <v>0</v>
      </c>
      <c r="M279" s="101"/>
      <c r="N279" s="91">
        <f ca="1">IFERROR(__xludf.DUMMYFUNCTION("IMPORTRANGE(""https://docs.google.com/spreadsheets/d/1Yj_ptqi66GCucihVvJfMjLAmec39IyEx_6qawtMGysU/edit?usp=sharing"",""สบก!CM89"")"),0)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IFERROR(__xludf.DUMMYFUNCTION("IMPORTRANGE(""https://docs.google.com/spreadsheets/d/1IYY_tgx_IHuhSq3AJ5eI5OnqOPBNLWSHKh2a30DoXe8/edit?usp=sharing"",""ภูเก็ต!J191"")"),0)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IFERROR(__xludf.DUMMYFUNCTION("IMPORTRANGE(""https://docs.google.com/spreadsheets/d/1IYY_tgx_IHuhSq3AJ5eI5OnqOPBNLWSHKh2a30DoXe8/edit?usp=sharing"",""ภูเก็ต!J192"")"),0)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IFERROR(__xludf.DUMMYFUNCTION("IMPORTRANGE(""https://docs.google.com/spreadsheets/d/1IYY_tgx_IHuhSq3AJ5eI5OnqOPBNLWSHKh2a30DoXe8/edit?usp=sharing"",""ภูเก็ต!J193"")"),0)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IFERROR(__xludf.DUMMYFUNCTION("IMPORTRANGE(""https://docs.google.com/spreadsheets/d/1IYY_tgx_IHuhSq3AJ5eI5OnqOPBNLWSHKh2a30DoXe8/edit?usp=sharing"",""ภูเก็ต!J194"")"),0)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IFERROR(__xludf.DUMMYFUNCTION("IMPORTRANGE(""https://docs.google.com/spreadsheets/d/1IYY_tgx_IHuhSq3AJ5eI5OnqOPBNLWSHKh2a30DoXe8/edit?usp=sharing"",""ภูเก็ต!I195"")"),0)</f>
        <v>0</v>
      </c>
      <c r="J285" s="195">
        <f ca="1">IFERROR(__xludf.DUMMYFUNCTION("IMPORTRANGE(""https://docs.google.com/spreadsheets/d/1IYY_tgx_IHuhSq3AJ5eI5OnqOPBNLWSHKh2a30DoXe8/edit?usp=sharing"",""ภูเก็ต!J195"")"),0)</f>
        <v>0</v>
      </c>
      <c r="K285" s="167">
        <f ca="1">IF(I285&gt;0,J285*100/I285,0)</f>
        <v>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IFERROR(__xludf.DUMMYFUNCTION("IMPORTRANGE(""https://docs.google.com/spreadsheets/d/1IYY_tgx_IHuhSq3AJ5eI5OnqOPBNLWSHKh2a30DoXe8/edit?usp=sharing"",""ภูเก็ต!J196"")"),0)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IFERROR(__xludf.DUMMYFUNCTION("IMPORTRANGE(""https://docs.google.com/spreadsheets/d/1IYY_tgx_IHuhSq3AJ5eI5OnqOPBNLWSHKh2a30DoXe8/edit?usp=sharing"",""ภูเก็ต!J197"")"),0)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IFERROR(__xludf.DUMMYFUNCTION("IMPORTRANGE(""https://docs.google.com/spreadsheets/d/1IYY_tgx_IHuhSq3AJ5eI5OnqOPBNLWSHKh2a30DoXe8/edit?usp=sharing"",""ภูเก็ต!I199"")"),0)</f>
        <v>0</v>
      </c>
      <c r="J289" s="322">
        <f ca="1">IFERROR(__xludf.DUMMYFUNCTION("IMPORTRANGE(""https://docs.google.com/spreadsheets/d/1IYY_tgx_IHuhSq3AJ5eI5OnqOPBNLWSHKh2a30DoXe8/edit?usp=sharing"",""ภูเก็ต!J199"")"),0)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2" t="s">
        <v>17</v>
      </c>
      <c r="E290" s="573"/>
      <c r="F290" s="573"/>
      <c r="G290" s="573"/>
      <c r="H290" s="153" t="s">
        <v>12</v>
      </c>
      <c r="I290" s="194"/>
      <c r="J290" s="194"/>
      <c r="K290" s="230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3">
      <c r="A293" s="162"/>
      <c r="B293" s="163"/>
      <c r="C293" s="163" t="s">
        <v>16</v>
      </c>
      <c r="D293" s="574" t="s">
        <v>20</v>
      </c>
      <c r="E293" s="575"/>
      <c r="F293" s="575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IFERROR(__xludf.DUMMYFUNCTION("IMPORTRANGE(""https://docs.google.com/spreadsheets/d/1Yj_ptqi66GCucihVvJfMjLAmec39IyEx_6qawtMGysU/edit?usp=sharing"",""สบก!CT89"")"),0)</f>
        <v>0</v>
      </c>
      <c r="N294" s="174">
        <f ca="1">IFERROR(__xludf.DUMMYFUNCTION("IMPORTRANGE(""https://docs.google.com/spreadsheets/d/1Yj_ptqi66GCucihVvJfMjLAmec39IyEx_6qawtMGysU/edit?usp=sharing"",""สบก!CU89"")"),0)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IFERROR(__xludf.DUMMYFUNCTION("IMPORTRANGE(""https://docs.google.com/spreadsheets/d/1Yj_ptqi66GCucihVvJfMjLAmec39IyEx_6qawtMGysU/edit?usp=sharing"",""สบก!CP89"")"),0)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IFERROR(__xludf.DUMMYFUNCTION("IMPORTRANGE(""https://docs.google.com/spreadsheets/d/1Yj_ptqi66GCucihVvJfMjLAmec39IyEx_6qawtMGysU/edit?usp=sharing"",""สบก!CQ89"")"),0)</f>
        <v>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6" t="s">
        <v>23</v>
      </c>
      <c r="E297" s="575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IFERROR(__xludf.DUMMYFUNCTION("IMPORTRANGE(""https://docs.google.com/spreadsheets/d/1Yj_ptqi66GCucihVvJfMjLAmec39IyEx_6qawtMGysU/edit?usp=sharing"",""สบก!CR89"")"),0)</f>
        <v>0</v>
      </c>
      <c r="M298" s="101"/>
      <c r="N298" s="91">
        <f ca="1">IFERROR(__xludf.DUMMYFUNCTION("IMPORTRANGE(""https://docs.google.com/spreadsheets/d/1Yj_ptqi66GCucihVvJfMjLAmec39IyEx_6qawtMGysU/edit?usp=sharing"",""สบก!CV89"")"),0)</f>
        <v>0</v>
      </c>
      <c r="O298" s="101">
        <f ca="1">IF(L298&gt;0,N298*100/L298,0)</f>
        <v>0</v>
      </c>
      <c r="P298" s="101"/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IFERROR(__xludf.DUMMYFUNCTION("IMPORTRANGE(""https://docs.google.com/spreadsheets/d/1IYY_tgx_IHuhSq3AJ5eI5OnqOPBNLWSHKh2a30DoXe8/edit?usp=sharing"",""ภูเก็ต!J205"")"),0)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IFERROR(__xludf.DUMMYFUNCTION("IMPORTRANGE(""https://docs.google.com/spreadsheets/d/1IYY_tgx_IHuhSq3AJ5eI5OnqOPBNLWSHKh2a30DoXe8/edit?usp=sharing"",""ภูเก็ต!J206"")"),0)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IFERROR(__xludf.DUMMYFUNCTION("IMPORTRANGE(""https://docs.google.com/spreadsheets/d/1IYY_tgx_IHuhSq3AJ5eI5OnqOPBNLWSHKh2a30DoXe8/edit?usp=sharing"",""ภูเก็ต!J207"")"),0)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IFERROR(__xludf.DUMMYFUNCTION("IMPORTRANGE(""https://docs.google.com/spreadsheets/d/1IYY_tgx_IHuhSq3AJ5eI5OnqOPBNLWSHKh2a30DoXe8/edit?usp=sharing"",""ภูเก็ต!J208"")"),0)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IFERROR(__xludf.DUMMYFUNCTION("IMPORTRANGE(""https://docs.google.com/spreadsheets/d/1IYY_tgx_IHuhSq3AJ5eI5OnqOPBNLWSHKh2a30DoXe8/edit?usp=sharing"",""ภูเก็ต!I209"")"),0)</f>
        <v>0</v>
      </c>
      <c r="J304" s="210">
        <f ca="1">IFERROR(__xludf.DUMMYFUNCTION("IMPORTRANGE(""https://docs.google.com/spreadsheets/d/1IYY_tgx_IHuhSq3AJ5eI5OnqOPBNLWSHKh2a30DoXe8/edit?usp=sharing"",""ภูเก็ต!J209"")"),0)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IFERROR(__xludf.DUMMYFUNCTION("IMPORTRANGE(""https://docs.google.com/spreadsheets/d/1IYY_tgx_IHuhSq3AJ5eI5OnqOPBNLWSHKh2a30DoXe8/edit?usp=sharing"",""ภูเก็ต!I211"")"),0)</f>
        <v>0</v>
      </c>
      <c r="J306" s="210">
        <f ca="1">IFERROR(__xludf.DUMMYFUNCTION("IMPORTRANGE(""https://docs.google.com/spreadsheets/d/1IYY_tgx_IHuhSq3AJ5eI5OnqOPBNLWSHKh2a30DoXe8/edit?usp=sharing"",""ภูเก็ต!J211"")"),0)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IFERROR(__xludf.DUMMYFUNCTION("IMPORTRANGE(""https://docs.google.com/spreadsheets/d/1IYY_tgx_IHuhSq3AJ5eI5OnqOPBNLWSHKh2a30DoXe8/edit?usp=sharing"",""ภูเก็ต!J212"")"),0)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IFERROR(__xludf.DUMMYFUNCTION("IMPORTRANGE(""https://docs.google.com/spreadsheets/d/1IYY_tgx_IHuhSq3AJ5eI5OnqOPBNLWSHKh2a30DoXe8/edit?usp=sharing"",""ภูเก็ต!J213"")"),0)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IFERROR(__xludf.DUMMYFUNCTION("IMPORTRANGE(""https://docs.google.com/spreadsheets/d/1IYY_tgx_IHuhSq3AJ5eI5OnqOPBNLWSHKh2a30DoXe8/edit?usp=sharing"",""ภูเก็ต!I214"")"),0)</f>
        <v>0</v>
      </c>
      <c r="J309" s="339">
        <f ca="1">IFERROR(__xludf.DUMMYFUNCTION("IMPORTRANGE(""https://docs.google.com/spreadsheets/d/1IYY_tgx_IHuhSq3AJ5eI5OnqOPBNLWSHKh2a30DoXe8/edit?usp=sharing"",""ภูเก็ต!J214"")"),0)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2" t="s">
        <v>17</v>
      </c>
      <c r="E310" s="573"/>
      <c r="F310" s="573"/>
      <c r="G310" s="573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3">
      <c r="A313" s="162"/>
      <c r="B313" s="163"/>
      <c r="C313" s="163" t="s">
        <v>16</v>
      </c>
      <c r="D313" s="574" t="s">
        <v>20</v>
      </c>
      <c r="E313" s="575"/>
      <c r="F313" s="575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IFERROR(__xludf.DUMMYFUNCTION("IMPORTRANGE(""https://docs.google.com/spreadsheets/d/1Yj_ptqi66GCucihVvJfMjLAmec39IyEx_6qawtMGysU/edit?usp=sharing"",""สบก!DC89"")"),0)</f>
        <v>0</v>
      </c>
      <c r="N314" s="174">
        <f ca="1">IFERROR(__xludf.DUMMYFUNCTION("IMPORTRANGE(""https://docs.google.com/spreadsheets/d/1Yj_ptqi66GCucihVvJfMjLAmec39IyEx_6qawtMGysU/edit?usp=sharing"",""สบก!DD89"")"),0)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IFERROR(__xludf.DUMMYFUNCTION("IMPORTRANGE(""https://docs.google.com/spreadsheets/d/1Yj_ptqi66GCucihVvJfMjLAmec39IyEx_6qawtMGysU/edit?usp=sharing"",""สบก!CY89"")"),0)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IFERROR(__xludf.DUMMYFUNCTION("IMPORTRANGE(""https://docs.google.com/spreadsheets/d/1Yj_ptqi66GCucihVvJfMjLAmec39IyEx_6qawtMGysU/edit?usp=sharing"",""สบก!CZ89"")"),0)</f>
        <v>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6" t="s">
        <v>23</v>
      </c>
      <c r="E317" s="575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IFERROR(__xludf.DUMMYFUNCTION("IMPORTRANGE(""https://docs.google.com/spreadsheets/d/1Yj_ptqi66GCucihVvJfMjLAmec39IyEx_6qawtMGysU/edit?usp=sharing"",""สบก!DA89"")"),0)</f>
        <v>0</v>
      </c>
      <c r="M318" s="101"/>
      <c r="N318" s="91">
        <f ca="1">IFERROR(__xludf.DUMMYFUNCTION("IMPORTRANGE(""https://docs.google.com/spreadsheets/d/1Yj_ptqi66GCucihVvJfMjLAmec39IyEx_6qawtMGysU/edit?usp=sharing"",""สบก!DE89"")"),0)</f>
        <v>0</v>
      </c>
      <c r="O318" s="101">
        <f ca="1">IF(L318&gt;0,N318*100/L318,0)</f>
        <v>0</v>
      </c>
      <c r="P318" s="101"/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IFERROR(__xludf.DUMMYFUNCTION("IMPORTRANGE(""https://docs.google.com/spreadsheets/d/1IYY_tgx_IHuhSq3AJ5eI5OnqOPBNLWSHKh2a30DoXe8/edit?usp=sharing"",""ภูเก็ต!J220"")"),0)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IFERROR(__xludf.DUMMYFUNCTION("IMPORTRANGE(""https://docs.google.com/spreadsheets/d/1IYY_tgx_IHuhSq3AJ5eI5OnqOPBNLWSHKh2a30DoXe8/edit?usp=sharing"",""ภูเก็ต!J221"")"),0)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IFERROR(__xludf.DUMMYFUNCTION("IMPORTRANGE(""https://docs.google.com/spreadsheets/d/1IYY_tgx_IHuhSq3AJ5eI5OnqOPBNLWSHKh2a30DoXe8/edit?usp=sharing"",""ภูเก็ต!J222"")"),0)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IFERROR(__xludf.DUMMYFUNCTION("IMPORTRANGE(""https://docs.google.com/spreadsheets/d/1IYY_tgx_IHuhSq3AJ5eI5OnqOPBNLWSHKh2a30DoXe8/edit?usp=sharing"",""ภูเก็ต!J223"")"),0)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IFERROR(__xludf.DUMMYFUNCTION("IMPORTRANGE(""https://docs.google.com/spreadsheets/d/1IYY_tgx_IHuhSq3AJ5eI5OnqOPBNLWSHKh2a30DoXe8/edit?usp=sharing"",""ภูเก็ต!I224"")"),0)</f>
        <v>0</v>
      </c>
      <c r="J324" s="210">
        <f ca="1">IFERROR(__xludf.DUMMYFUNCTION("IMPORTRANGE(""https://docs.google.com/spreadsheets/d/1IYY_tgx_IHuhSq3AJ5eI5OnqOPBNLWSHKh2a30DoXe8/edit?usp=sharing"",""ภูเก็ต!J224"")"),0)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IFERROR(__xludf.DUMMYFUNCTION("IMPORTRANGE(""https://docs.google.com/spreadsheets/d/1IYY_tgx_IHuhSq3AJ5eI5OnqOPBNLWSHKh2a30DoXe8/edit?usp=sharing"",""ภูเก็ต!J225"")"),0)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IFERROR(__xludf.DUMMYFUNCTION("IMPORTRANGE(""https://docs.google.com/spreadsheets/d/1IYY_tgx_IHuhSq3AJ5eI5OnqOPBNLWSHKh2a30DoXe8/edit?usp=sharing"",""ภูเก็ต!J226"")"),0)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IFERROR(__xludf.DUMMYFUNCTION("IMPORTRANGE(""https://docs.google.com/spreadsheets/d/1IYY_tgx_IHuhSq3AJ5eI5OnqOPBNLWSHKh2a30DoXe8/edit?usp=sharing"",""ภูเก็ต!I228"")"),20)</f>
        <v>20</v>
      </c>
      <c r="J328" s="345">
        <f ca="1">IFERROR(__xludf.DUMMYFUNCTION("IMPORTRANGE(""https://docs.google.com/spreadsheets/d/1IYY_tgx_IHuhSq3AJ5eI5OnqOPBNLWSHKh2a30DoXe8/edit?usp=sharing"",""ภูเก็ต!J228"")"),19)</f>
        <v>19</v>
      </c>
      <c r="K328" s="323">
        <f ca="1">IF(I328&gt;0,J328*100/I328,0)</f>
        <v>95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2" t="s">
        <v>17</v>
      </c>
      <c r="E329" s="573"/>
      <c r="F329" s="573"/>
      <c r="G329" s="573"/>
      <c r="H329" s="153" t="s">
        <v>12</v>
      </c>
      <c r="I329" s="166"/>
      <c r="J329" s="166"/>
      <c r="K329" s="167"/>
      <c r="L329" s="156">
        <f t="shared" ref="L329:N329" ca="1" si="98">L330+L331</f>
        <v>729700</v>
      </c>
      <c r="M329" s="156">
        <f t="shared" ca="1" si="98"/>
        <v>768700</v>
      </c>
      <c r="N329" s="156">
        <f t="shared" ca="1" si="98"/>
        <v>665286.68000000005</v>
      </c>
      <c r="O329" s="155">
        <f t="shared" ref="O329:O331" ca="1" si="99">IF(L329&gt;0,N329*100/L329,0)</f>
        <v>91.172629847882703</v>
      </c>
      <c r="P329" s="155">
        <f t="shared" ref="P329:P331" ca="1" si="100">IF(M329&gt;0,N329*100/M329,0)</f>
        <v>86.546985820215966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729700</v>
      </c>
      <c r="M331" s="161">
        <f t="shared" ca="1" si="102"/>
        <v>768700</v>
      </c>
      <c r="N331" s="161">
        <f t="shared" ca="1" si="102"/>
        <v>665286.68000000005</v>
      </c>
      <c r="O331" s="160">
        <f t="shared" ca="1" si="99"/>
        <v>91.172629847882703</v>
      </c>
      <c r="P331" s="160">
        <f t="shared" ca="1" si="100"/>
        <v>86.546985820215966</v>
      </c>
    </row>
    <row r="332" spans="1:16" ht="21.75" customHeight="1" x14ac:dyDescent="0.3">
      <c r="A332" s="162"/>
      <c r="B332" s="163"/>
      <c r="C332" s="163" t="s">
        <v>16</v>
      </c>
      <c r="D332" s="574" t="s">
        <v>20</v>
      </c>
      <c r="E332" s="575"/>
      <c r="F332" s="575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691900</v>
      </c>
      <c r="M333" s="173">
        <f ca="1">IFERROR(__xludf.DUMMYFUNCTION("IMPORTRANGE(""https://docs.google.com/spreadsheets/d/1Yj_ptqi66GCucihVvJfMjLAmec39IyEx_6qawtMGysU/edit?usp=sharing"",""สบก!DL89"")"),730900)</f>
        <v>730900</v>
      </c>
      <c r="N333" s="174">
        <f ca="1">IFERROR(__xludf.DUMMYFUNCTION("IMPORTRANGE(""https://docs.google.com/spreadsheets/d/1Yj_ptqi66GCucihVvJfMjLAmec39IyEx_6qawtMGysU/edit?usp=sharing"",""สบก!DM89"")"),627486.68)</f>
        <v>627486.68000000005</v>
      </c>
      <c r="O333" s="175">
        <f ca="1">IF(L333&gt;0,N333*100/L333,0)</f>
        <v>90.69037144095968</v>
      </c>
      <c r="P333" s="175">
        <f ca="1">IF(M333&gt;0,N333*100/M333,0)</f>
        <v>85.851235463127665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IFERROR(__xludf.DUMMYFUNCTION("IMPORTRANGE(""https://docs.google.com/spreadsheets/d/1Yj_ptqi66GCucihVvJfMjLAmec39IyEx_6qawtMGysU/edit?usp=sharing"",""สบก!DH89"")"),495500)</f>
        <v>495500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IFERROR(__xludf.DUMMYFUNCTION("IMPORTRANGE(""https://docs.google.com/spreadsheets/d/1Yj_ptqi66GCucihVvJfMjLAmec39IyEx_6qawtMGysU/edit?usp=sharing"",""สบก!DI89"")"),196400)</f>
        <v>196400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6" t="s">
        <v>23</v>
      </c>
      <c r="E336" s="575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IFERROR(__xludf.DUMMYFUNCTION("IMPORTRANGE(""https://docs.google.com/spreadsheets/d/1Yj_ptqi66GCucihVvJfMjLAmec39IyEx_6qawtMGysU/edit?usp=sharing"",""สบก!DJ89"")"),37800)</f>
        <v>37800</v>
      </c>
      <c r="M337" s="101">
        <f ca="1">L337</f>
        <v>37800</v>
      </c>
      <c r="N337" s="91">
        <f ca="1">IFERROR(__xludf.DUMMYFUNCTION("IMPORTRANGE(""https://docs.google.com/spreadsheets/d/1Yj_ptqi66GCucihVvJfMjLAmec39IyEx_6qawtMGysU/edit?usp=sharing"",""สบก!DN89"")"),37800)</f>
        <v>37800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IFERROR(__xludf.DUMMYFUNCTION("IMPORTRANGE(""https://docs.google.com/spreadsheets/d/1IYY_tgx_IHuhSq3AJ5eI5OnqOPBNLWSHKh2a30DoXe8/edit?usp=sharing"",""ภูเก็ต!I234"")"),0)</f>
        <v>0</v>
      </c>
      <c r="J339" s="194">
        <f ca="1">IFERROR(__xludf.DUMMYFUNCTION("IMPORTRANGE(""https://docs.google.com/spreadsheets/d/1IYY_tgx_IHuhSq3AJ5eI5OnqOPBNLWSHKh2a30DoXe8/edit?usp=sharing"",""ภูเก็ต!J234"")"),15)</f>
        <v>15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IFERROR(__xludf.DUMMYFUNCTION("IMPORTRANGE(""https://docs.google.com/spreadsheets/d/1IYY_tgx_IHuhSq3AJ5eI5OnqOPBNLWSHKh2a30DoXe8/edit?usp=sharing"",""ภูเก็ต!I235"")"),140)</f>
        <v>140</v>
      </c>
      <c r="J340" s="194">
        <f ca="1">IFERROR(__xludf.DUMMYFUNCTION("IMPORTRANGE(""https://docs.google.com/spreadsheets/d/1IYY_tgx_IHuhSq3AJ5eI5OnqOPBNLWSHKh2a30DoXe8/edit?usp=sharing"",""ภูเก็ต!J235"")"),57.48)</f>
        <v>57.48</v>
      </c>
      <c r="K340" s="348">
        <f t="shared" ca="1" si="103"/>
        <v>41.057142857142857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IFERROR(__xludf.DUMMYFUNCTION("IMPORTRANGE(""https://docs.google.com/spreadsheets/d/1IYY_tgx_IHuhSq3AJ5eI5OnqOPBNLWSHKh2a30DoXe8/edit?usp=sharing"",""ภูเก็ต!I236"")"),20)</f>
        <v>20</v>
      </c>
      <c r="J341" s="194">
        <f ca="1">IFERROR(__xludf.DUMMYFUNCTION("IMPORTRANGE(""https://docs.google.com/spreadsheets/d/1IYY_tgx_IHuhSq3AJ5eI5OnqOPBNLWSHKh2a30DoXe8/edit?usp=sharing"",""ภูเก็ต!J236"")"),19)</f>
        <v>19</v>
      </c>
      <c r="K341" s="348">
        <f t="shared" ca="1" si="103"/>
        <v>95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IFERROR(__xludf.DUMMYFUNCTION("IMPORTRANGE(""https://docs.google.com/spreadsheets/d/1IYY_tgx_IHuhSq3AJ5eI5OnqOPBNLWSHKh2a30DoXe8/edit?usp=sharing"",""ภูเก็ต!I237"")"),0)</f>
        <v>0</v>
      </c>
      <c r="J342" s="194">
        <f ca="1">IFERROR(__xludf.DUMMYFUNCTION("IMPORTRANGE(""https://docs.google.com/spreadsheets/d/1IYY_tgx_IHuhSq3AJ5eI5OnqOPBNLWSHKh2a30DoXe8/edit?usp=sharing"",""ภูเก็ต!J237"")"),101.75)</f>
        <v>101.75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IFERROR(__xludf.DUMMYFUNCTION("IMPORTRANGE(""https://docs.google.com/spreadsheets/d/1IYY_tgx_IHuhSq3AJ5eI5OnqOPBNLWSHKh2a30DoXe8/edit?usp=sharing"",""ภูเก็ต!I238"")"),20)</f>
        <v>20</v>
      </c>
      <c r="J343" s="194">
        <f ca="1">IFERROR(__xludf.DUMMYFUNCTION("IMPORTRANGE(""https://docs.google.com/spreadsheets/d/1IYY_tgx_IHuhSq3AJ5eI5OnqOPBNLWSHKh2a30DoXe8/edit?usp=sharing"",""ภูเก็ต!J238"")"),0)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IFERROR(__xludf.DUMMYFUNCTION("IMPORTRANGE(""https://docs.google.com/spreadsheets/d/1IYY_tgx_IHuhSq3AJ5eI5OnqOPBNLWSHKh2a30DoXe8/edit?usp=sharing"",""ภูเก็ต!I239"")"),0)</f>
        <v>0</v>
      </c>
      <c r="J344" s="194">
        <f ca="1">IFERROR(__xludf.DUMMYFUNCTION("IMPORTRANGE(""https://docs.google.com/spreadsheets/d/1IYY_tgx_IHuhSq3AJ5eI5OnqOPBNLWSHKh2a30DoXe8/edit?usp=sharing"",""ภูเก็ต!J239"")"),0)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IFERROR(__xludf.DUMMYFUNCTION("IMPORTRANGE(""https://docs.google.com/spreadsheets/d/1IYY_tgx_IHuhSq3AJ5eI5OnqOPBNLWSHKh2a30DoXe8/edit?usp=sharing"",""ภูเก็ต!I240"")"),20)</f>
        <v>20</v>
      </c>
      <c r="J345" s="194">
        <f ca="1">IFERROR(__xludf.DUMMYFUNCTION("IMPORTRANGE(""https://docs.google.com/spreadsheets/d/1IYY_tgx_IHuhSq3AJ5eI5OnqOPBNLWSHKh2a30DoXe8/edit?usp=sharing"",""ภูเก็ต!J240"")"),19)</f>
        <v>19</v>
      </c>
      <c r="K345" s="348">
        <f t="shared" ca="1" si="103"/>
        <v>95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IFERROR(__xludf.DUMMYFUNCTION("IMPORTRANGE(""https://docs.google.com/spreadsheets/d/1IYY_tgx_IHuhSq3AJ5eI5OnqOPBNLWSHKh2a30DoXe8/edit?usp=sharing"",""ภูเก็ต!I241"")"),0)</f>
        <v>0</v>
      </c>
      <c r="J346" s="194">
        <f ca="1">IFERROR(__xludf.DUMMYFUNCTION("IMPORTRANGE(""https://docs.google.com/spreadsheets/d/1IYY_tgx_IHuhSq3AJ5eI5OnqOPBNLWSHKh2a30DoXe8/edit?usp=sharing"",""ภูเก็ต!J241"")"),101.75)</f>
        <v>101.75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IFERROR(__xludf.DUMMYFUNCTION("IMPORTRANGE(""https://docs.google.com/spreadsheets/d/1IYY_tgx_IHuhSq3AJ5eI5OnqOPBNLWSHKh2a30DoXe8/edit?usp=sharing"",""ภูเก็ต!L242"")"),517570)</f>
        <v>517570</v>
      </c>
      <c r="M347" s="364"/>
      <c r="N347" s="364">
        <f ca="1">IFERROR(__xludf.DUMMYFUNCTION("IMPORTRANGE(""https://docs.google.com/spreadsheets/d/1IYY_tgx_IHuhSq3AJ5eI5OnqOPBNLWSHKh2a30DoXe8/edit?usp=sharing"",""ภูเก็ต!M242"")"),481403.56)</f>
        <v>481403.56</v>
      </c>
      <c r="O347" s="364">
        <f ca="1">+IF(L347&gt;0,N347*100/L347,0)</f>
        <v>93.012261143420218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IFERROR(__xludf.DUMMYFUNCTION("IMPORTRANGE(""https://docs.google.com/spreadsheets/d/1IYY_tgx_IHuhSq3AJ5eI5OnqOPBNLWSHKh2a30DoXe8/edit?usp=sharing"",""ภูเก็ต!I244"")"),40)</f>
        <v>40</v>
      </c>
      <c r="J349" s="377">
        <f ca="1">IFERROR(__xludf.DUMMYFUNCTION("IMPORTRANGE(""https://docs.google.com/spreadsheets/d/1IYY_tgx_IHuhSq3AJ5eI5OnqOPBNLWSHKh2a30DoXe8/edit?usp=sharing"",""ภูเก็ต!J244"")"),0)</f>
        <v>0</v>
      </c>
      <c r="K349" s="378">
        <f t="shared" ref="K349:K350" ca="1" si="104">IF(I349&gt;0,J349*100/I349,0)</f>
        <v>0</v>
      </c>
      <c r="L349" s="379">
        <f ca="1">IFERROR(__xludf.DUMMYFUNCTION("IMPORTRANGE(""https://docs.google.com/spreadsheets/d/1IYY_tgx_IHuhSq3AJ5eI5OnqOPBNLWSHKh2a30DoXe8/edit?usp=sharing"",""ภูเก็ต!L244"")"),89120)</f>
        <v>89120</v>
      </c>
      <c r="M349" s="379"/>
      <c r="N349" s="379">
        <f ca="1">IFERROR(__xludf.DUMMYFUNCTION("IMPORTRANGE(""https://docs.google.com/spreadsheets/d/1IYY_tgx_IHuhSq3AJ5eI5OnqOPBNLWSHKh2a30DoXe8/edit?usp=sharing"",""ภูเก็ต!M244"")"),84743.56)</f>
        <v>84743.56</v>
      </c>
      <c r="O349" s="379">
        <f ca="1">+IF(L349&gt;0,N349*100/L349,0)</f>
        <v>95.089272890484736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IFERROR(__xludf.DUMMYFUNCTION("IMPORTRANGE(""https://docs.google.com/spreadsheets/d/1IYY_tgx_IHuhSq3AJ5eI5OnqOPBNLWSHKh2a30DoXe8/edit?usp=sharing"",""ภูเก็ต!I245"")"),20)</f>
        <v>20</v>
      </c>
      <c r="J350" s="377">
        <f ca="1">IFERROR(__xludf.DUMMYFUNCTION("IMPORTRANGE(""https://docs.google.com/spreadsheets/d/1IYY_tgx_IHuhSq3AJ5eI5OnqOPBNLWSHKh2a30DoXe8/edit?usp=sharing"",""ภูเก็ต!J245"")"),20)</f>
        <v>20</v>
      </c>
      <c r="K350" s="378">
        <f t="shared" ca="1" si="104"/>
        <v>100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IFERROR(__xludf.DUMMYFUNCTION("IMPORTRANGE(""https://docs.google.com/spreadsheets/d/1IYY_tgx_IHuhSq3AJ5eI5OnqOPBNLWSHKh2a30DoXe8/edit?usp=sharing"",""ภูเก็ต!L246"")"),0)</f>
        <v>0</v>
      </c>
      <c r="M351" s="168"/>
      <c r="N351" s="168">
        <f ca="1">IFERROR(__xludf.DUMMYFUNCTION("IMPORTRANGE(""https://docs.google.com/spreadsheets/d/1IYY_tgx_IHuhSq3AJ5eI5OnqOPBNLWSHKh2a30DoXe8/edit?usp=sharing"",""ภูเก็ต!M246"")"),0)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IFERROR(__xludf.DUMMYFUNCTION("IMPORTRANGE(""https://docs.google.com/spreadsheets/d/1IYY_tgx_IHuhSq3AJ5eI5OnqOPBNLWSHKh2a30DoXe8/edit?usp=sharing"",""ภูเก็ต!L247"")"),89120)</f>
        <v>89120</v>
      </c>
      <c r="M352" s="169"/>
      <c r="N352" s="168">
        <f ca="1">IFERROR(__xludf.DUMMYFUNCTION("IMPORTRANGE(""https://docs.google.com/spreadsheets/d/1IYY_tgx_IHuhSq3AJ5eI5OnqOPBNLWSHKh2a30DoXe8/edit?usp=sharing"",""ภูเก็ต!M247"")"),84743.56)</f>
        <v>84743.56</v>
      </c>
      <c r="O352" s="169">
        <f t="shared" ca="1" si="105"/>
        <v>95.089272890484736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IFERROR(__xludf.DUMMYFUNCTION("IMPORTRANGE(""https://docs.google.com/spreadsheets/d/1IYY_tgx_IHuhSq3AJ5eI5OnqOPBNLWSHKh2a30DoXe8/edit?usp=sharing"",""ภูเก็ต!L248"")"),0)</f>
        <v>0</v>
      </c>
      <c r="M353" s="175"/>
      <c r="N353" s="175">
        <f ca="1">IFERROR(__xludf.DUMMYFUNCTION("IMPORTRANGE(""https://docs.google.com/spreadsheets/d/1IYY_tgx_IHuhSq3AJ5eI5OnqOPBNLWSHKh2a30DoXe8/edit?usp=sharing"",""ภูเก็ต!M248"")"),0)</f>
        <v>0</v>
      </c>
      <c r="O353" s="175">
        <f t="shared" ca="1" si="105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IFERROR(__xludf.DUMMYFUNCTION("IMPORTRANGE(""https://docs.google.com/spreadsheets/d/1IYY_tgx_IHuhSq3AJ5eI5OnqOPBNLWSHKh2a30DoXe8/edit?usp=sharing"",""ภูเก็ต!L249"")"),89120)</f>
        <v>89120</v>
      </c>
      <c r="M354" s="175"/>
      <c r="N354" s="172">
        <f ca="1">IFERROR(__xludf.DUMMYFUNCTION("IMPORTRANGE(""https://docs.google.com/spreadsheets/d/1IYY_tgx_IHuhSq3AJ5eI5OnqOPBNLWSHKh2a30DoXe8/edit?usp=sharing"",""ภูเก็ต!M249"")"),84743.56)</f>
        <v>84743.56</v>
      </c>
      <c r="O354" s="175">
        <f t="shared" ca="1" si="105"/>
        <v>95.089272890484736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IFERROR(__xludf.DUMMYFUNCTION("IMPORTRANGE(""https://docs.google.com/spreadsheets/d/1IYY_tgx_IHuhSq3AJ5eI5OnqOPBNLWSHKh2a30DoXe8/edit?usp=sharing"",""ภูเก็ต!M250"")"),27600)</f>
        <v>27600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IFERROR(__xludf.DUMMYFUNCTION("IMPORTRANGE(""https://docs.google.com/spreadsheets/d/1IYY_tgx_IHuhSq3AJ5eI5OnqOPBNLWSHKh2a30DoXe8/edit?usp=sharing"",""ภูเก็ต!M251"")"),43000)</f>
        <v>43000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IFERROR(__xludf.DUMMYFUNCTION("IMPORTRANGE(""https://docs.google.com/spreadsheets/d/1IYY_tgx_IHuhSq3AJ5eI5OnqOPBNLWSHKh2a30DoXe8/edit?usp=sharing"",""ภูเก็ต!M252"")"),0)</f>
        <v>0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IFERROR(__xludf.DUMMYFUNCTION("IMPORTRANGE(""https://docs.google.com/spreadsheets/d/1IYY_tgx_IHuhSq3AJ5eI5OnqOPBNLWSHKh2a30DoXe8/edit?usp=sharing"",""ภูเก็ต!M253"")"),14143.56)</f>
        <v>14143.56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IFERROR(__xludf.DUMMYFUNCTION("IMPORTRANGE(""https://docs.google.com/spreadsheets/d/1IYY_tgx_IHuhSq3AJ5eI5OnqOPBNLWSHKh2a30DoXe8/edit?usp=sharing"",""ภูเก็ต!J255"")"),0)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IFERROR(__xludf.DUMMYFUNCTION("IMPORTRANGE(""https://docs.google.com/spreadsheets/d/1IYY_tgx_IHuhSq3AJ5eI5OnqOPBNLWSHKh2a30DoXe8/edit?usp=sharing"",""ภูเก็ต!J256"")"),1)</f>
        <v>1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IFERROR(__xludf.DUMMYFUNCTION("IMPORTRANGE(""https://docs.google.com/spreadsheets/d/1IYY_tgx_IHuhSq3AJ5eI5OnqOPBNLWSHKh2a30DoXe8/edit?usp=sharing"",""ภูเก็ต!J257"")"),1)</f>
        <v>1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IFERROR(__xludf.DUMMYFUNCTION("IMPORTRANGE(""https://docs.google.com/spreadsheets/d/1IYY_tgx_IHuhSq3AJ5eI5OnqOPBNLWSHKh2a30DoXe8/edit?usp=sharing"",""ภูเก็ต!J258"")"),1)</f>
        <v>1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IFERROR(__xludf.DUMMYFUNCTION("IMPORTRANGE(""https://docs.google.com/spreadsheets/d/1IYY_tgx_IHuhSq3AJ5eI5OnqOPBNLWSHKh2a30DoXe8/edit?usp=sharing"",""ภูเก็ต!J166"")"),0)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IFERROR(__xludf.DUMMYFUNCTION("IMPORTRANGE(""https://docs.google.com/spreadsheets/d/1IYY_tgx_IHuhSq3AJ5eI5OnqOPBNLWSHKh2a30DoXe8/edit?usp=sharing"",""ภูเก็ต!J166"")"),0)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IFERROR(__xludf.DUMMYFUNCTION("IMPORTRANGE(""https://docs.google.com/spreadsheets/d/1IYY_tgx_IHuhSq3AJ5eI5OnqOPBNLWSHKh2a30DoXe8/edit?usp=sharing"",""ภูเก็ต!J166"")"),0)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IFERROR(__xludf.DUMMYFUNCTION("IMPORTRANGE(""https://docs.google.com/spreadsheets/d/1IYY_tgx_IHuhSq3AJ5eI5OnqOPBNLWSHKh2a30DoXe8/edit?usp=sharing"",""ภูเก็ต!J166"")"),0)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IFERROR(__xludf.DUMMYFUNCTION("IMPORTRANGE(""https://docs.google.com/spreadsheets/d/1IYY_tgx_IHuhSq3AJ5eI5OnqOPBNLWSHKh2a30DoXe8/edit?usp=sharing"",""ภูเก็ต!I263"")"),20)</f>
        <v>20</v>
      </c>
      <c r="J368" s="194">
        <f ca="1">IFERROR(__xludf.DUMMYFUNCTION("IMPORTRANGE(""https://docs.google.com/spreadsheets/d/1IYY_tgx_IHuhSq3AJ5eI5OnqOPBNLWSHKh2a30DoXe8/edit?usp=sharing"",""ภูเก็ต!J263"")"),20)</f>
        <v>20</v>
      </c>
      <c r="K368" s="167">
        <f t="shared" ca="1" si="106"/>
        <v>100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IFERROR(__xludf.DUMMYFUNCTION("IMPORTRANGE(""https://docs.google.com/spreadsheets/d/1IYY_tgx_IHuhSq3AJ5eI5OnqOPBNLWSHKh2a30DoXe8/edit?usp=sharing"",""ภูเก็ต!I164"")"),0)</f>
        <v>0</v>
      </c>
      <c r="J369" s="210">
        <f ca="1">IFERROR(__xludf.DUMMYFUNCTION("IMPORTRANGE(""https://docs.google.com/spreadsheets/d/1IYY_tgx_IHuhSq3AJ5eI5OnqOPBNLWSHKh2a30DoXe8/edit?usp=sharing"",""ภูเก็ต!J164"")"),0)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IFERROR(__xludf.DUMMYFUNCTION("IMPORTRANGE(""https://docs.google.com/spreadsheets/d/1IYY_tgx_IHuhSq3AJ5eI5OnqOPBNLWSHKh2a30DoXe8/edit?usp=sharing"",""ภูเก็ต!I265"")"),20)</f>
        <v>20</v>
      </c>
      <c r="J370" s="210">
        <f ca="1">IFERROR(__xludf.DUMMYFUNCTION("IMPORTRANGE(""https://docs.google.com/spreadsheets/d/1IYY_tgx_IHuhSq3AJ5eI5OnqOPBNLWSHKh2a30DoXe8/edit?usp=sharing"",""ภูเก็ต!J265"")"),20)</f>
        <v>20</v>
      </c>
      <c r="K370" s="167">
        <f t="shared" ca="1" si="106"/>
        <v>100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IFERROR(__xludf.DUMMYFUNCTION("IMPORTRANGE(""https://docs.google.com/spreadsheets/d/1IYY_tgx_IHuhSq3AJ5eI5OnqOPBNLWSHKh2a30DoXe8/edit?usp=sharing"",""ภูเก็ต!I164"")"),0)</f>
        <v>0</v>
      </c>
      <c r="J371" s="195">
        <f ca="1">IFERROR(__xludf.DUMMYFUNCTION("IMPORTRANGE(""https://docs.google.com/spreadsheets/d/1IYY_tgx_IHuhSq3AJ5eI5OnqOPBNLWSHKh2a30DoXe8/edit?usp=sharing"",""ภูเก็ต!J164"")"),0)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IFERROR(__xludf.DUMMYFUNCTION("IMPORTRANGE(""https://docs.google.com/spreadsheets/d/1IYY_tgx_IHuhSq3AJ5eI5OnqOPBNLWSHKh2a30DoXe8/edit?usp=sharing"",""ภูเก็ต!I267"")"),20)</f>
        <v>20</v>
      </c>
      <c r="J372" s="195">
        <f ca="1">IFERROR(__xludf.DUMMYFUNCTION("IMPORTRANGE(""https://docs.google.com/spreadsheets/d/1IYY_tgx_IHuhSq3AJ5eI5OnqOPBNLWSHKh2a30DoXe8/edit?usp=sharing"",""ภูเก็ต!J267"")"),20)</f>
        <v>20</v>
      </c>
      <c r="K372" s="167">
        <f t="shared" ca="1" si="106"/>
        <v>100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IFERROR(__xludf.DUMMYFUNCTION("IMPORTRANGE(""https://docs.google.com/spreadsheets/d/1IYY_tgx_IHuhSq3AJ5eI5OnqOPBNLWSHKh2a30DoXe8/edit?usp=sharing"",""ภูเก็ต!I164"")"),0)</f>
        <v>0</v>
      </c>
      <c r="J373" s="210">
        <f ca="1">IFERROR(__xludf.DUMMYFUNCTION("IMPORTRANGE(""https://docs.google.com/spreadsheets/d/1IYY_tgx_IHuhSq3AJ5eI5OnqOPBNLWSHKh2a30DoXe8/edit?usp=sharing"",""ภูเก็ต!J164"")"),0)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IFERROR(__xludf.DUMMYFUNCTION("IMPORTRANGE(""https://docs.google.com/spreadsheets/d/1IYY_tgx_IHuhSq3AJ5eI5OnqOPBNLWSHKh2a30DoXe8/edit?usp=sharing"",""ภูเก็ต!I164"")"),0)</f>
        <v>0</v>
      </c>
      <c r="J374" s="194">
        <f ca="1">IFERROR(__xludf.DUMMYFUNCTION("IMPORTRANGE(""https://docs.google.com/spreadsheets/d/1IYY_tgx_IHuhSq3AJ5eI5OnqOPBNLWSHKh2a30DoXe8/edit?usp=sharing"",""ภูเก็ต!J164"")"),0)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IFERROR(__xludf.DUMMYFUNCTION("IMPORTRANGE(""https://docs.google.com/spreadsheets/d/1IYY_tgx_IHuhSq3AJ5eI5OnqOPBNLWSHKh2a30DoXe8/edit?usp=sharing"",""ภูเก็ต!I270"")"),40)</f>
        <v>40</v>
      </c>
      <c r="J375" s="194">
        <f ca="1">IFERROR(__xludf.DUMMYFUNCTION("IMPORTRANGE(""https://docs.google.com/spreadsheets/d/1IYY_tgx_IHuhSq3AJ5eI5OnqOPBNLWSHKh2a30DoXe8/edit?usp=sharing"",""ภูเก็ต!J270"")"),0)</f>
        <v>0</v>
      </c>
      <c r="K375" s="167">
        <f t="shared" ref="K375:K377" ca="1" si="107">IF(I375&gt;0,J375*100/I375,0)</f>
        <v>0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IFERROR(__xludf.DUMMYFUNCTION("IMPORTRANGE(""https://docs.google.com/spreadsheets/d/1IYY_tgx_IHuhSq3AJ5eI5OnqOPBNLWSHKh2a30DoXe8/edit?usp=sharing"",""ภูเก็ต!I271"")"),0)</f>
        <v>0</v>
      </c>
      <c r="J376" s="195">
        <f ca="1">IFERROR(__xludf.DUMMYFUNCTION("IMPORTRANGE(""https://docs.google.com/spreadsheets/d/1IYY_tgx_IHuhSq3AJ5eI5OnqOPBNLWSHKh2a30DoXe8/edit?usp=sharing"",""ภูเก็ต!J271"")"),0)</f>
        <v>0</v>
      </c>
      <c r="K376" s="167">
        <f t="shared" ca="1" si="107"/>
        <v>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IFERROR(__xludf.DUMMYFUNCTION("IMPORTRANGE(""https://docs.google.com/spreadsheets/d/1IYY_tgx_IHuhSq3AJ5eI5OnqOPBNLWSHKh2a30DoXe8/edit?usp=sharing"",""ภูเก็ต!I272"")"),40)</f>
        <v>40</v>
      </c>
      <c r="J377" s="210">
        <f ca="1">IFERROR(__xludf.DUMMYFUNCTION("IMPORTRANGE(""https://docs.google.com/spreadsheets/d/1IYY_tgx_IHuhSq3AJ5eI5OnqOPBNLWSHKh2a30DoXe8/edit?usp=sharing"",""ภูเก็ต!J272"")"),0)</f>
        <v>0</v>
      </c>
      <c r="K377" s="167">
        <f t="shared" ca="1" si="107"/>
        <v>0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IFERROR(__xludf.DUMMYFUNCTION("IMPORTRANGE(""https://docs.google.com/spreadsheets/d/1IYY_tgx_IHuhSq3AJ5eI5OnqOPBNLWSHKh2a30DoXe8/edit?usp=sharing"",""ภูเก็ต!J273"")"),0)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IFERROR(__xludf.DUMMYFUNCTION("IMPORTRANGE(""https://docs.google.com/spreadsheets/d/1IYY_tgx_IHuhSq3AJ5eI5OnqOPBNLWSHKh2a30DoXe8/edit?usp=sharing"",""ภูเก็ต!J274"")"),0)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IFERROR(__xludf.DUMMYFUNCTION("IMPORTRANGE(""https://docs.google.com/spreadsheets/d/1IYY_tgx_IHuhSq3AJ5eI5OnqOPBNLWSHKh2a30DoXe8/edit?usp=sharing"",""ภูเก็ต!I275"")"),50)</f>
        <v>50</v>
      </c>
      <c r="J380" s="377">
        <f ca="1">IFERROR(__xludf.DUMMYFUNCTION("IMPORTRANGE(""https://docs.google.com/spreadsheets/d/1IYY_tgx_IHuhSq3AJ5eI5OnqOPBNLWSHKh2a30DoXe8/edit?usp=sharing"",""ภูเก็ต!J275"")"),0)</f>
        <v>0</v>
      </c>
      <c r="K380" s="378">
        <f t="shared" ref="K380:K381" ca="1" si="108">IF(I380&gt;0,J380*100/I380,0)</f>
        <v>0</v>
      </c>
      <c r="L380" s="379">
        <f ca="1">IFERROR(__xludf.DUMMYFUNCTION("IMPORTRANGE(""https://docs.google.com/spreadsheets/d/1IYY_tgx_IHuhSq3AJ5eI5OnqOPBNLWSHKh2a30DoXe8/edit?usp=sharing"",""ภูเก็ต!L275"")"),87710)</f>
        <v>87710</v>
      </c>
      <c r="M380" s="379"/>
      <c r="N380" s="379">
        <f ca="1">IFERROR(__xludf.DUMMYFUNCTION("IMPORTRANGE(""https://docs.google.com/spreadsheets/d/1IYY_tgx_IHuhSq3AJ5eI5OnqOPBNLWSHKh2a30DoXe8/edit?usp=sharing"",""ภูเก็ต!M275"")"),80050)</f>
        <v>80050</v>
      </c>
      <c r="O380" s="379">
        <f ca="1">+IF(L380&gt;0,N380*100/L380,0)</f>
        <v>91.266674267472354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IFERROR(__xludf.DUMMYFUNCTION("IMPORTRANGE(""https://docs.google.com/spreadsheets/d/1IYY_tgx_IHuhSq3AJ5eI5OnqOPBNLWSHKh2a30DoXe8/edit?usp=sharing"",""ภูเก็ต!I276"")"),5)</f>
        <v>5</v>
      </c>
      <c r="J381" s="377">
        <f ca="1">IFERROR(__xludf.DUMMYFUNCTION("IMPORTRANGE(""https://docs.google.com/spreadsheets/d/1IYY_tgx_IHuhSq3AJ5eI5OnqOPBNLWSHKh2a30DoXe8/edit?usp=sharing"",""ภูเก็ต!J276"")"),5)</f>
        <v>5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IFERROR(__xludf.DUMMYFUNCTION("IMPORTRANGE(""https://docs.google.com/spreadsheets/d/1IYY_tgx_IHuhSq3AJ5eI5OnqOPBNLWSHKh2a30DoXe8/edit?usp=sharing"",""ภูเก็ต!L277"")"),0)</f>
        <v>0</v>
      </c>
      <c r="M382" s="168"/>
      <c r="N382" s="168">
        <f ca="1">IFERROR(__xludf.DUMMYFUNCTION("IMPORTRANGE(""https://docs.google.com/spreadsheets/d/1IYY_tgx_IHuhSq3AJ5eI5OnqOPBNLWSHKh2a30DoXe8/edit?usp=sharing"",""ภูเก็ต!M277"")"),0)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IFERROR(__xludf.DUMMYFUNCTION("IMPORTRANGE(""https://docs.google.com/spreadsheets/d/1IYY_tgx_IHuhSq3AJ5eI5OnqOPBNLWSHKh2a30DoXe8/edit?usp=sharing"",""ภูเก็ต!L278"")"),87710)</f>
        <v>87710</v>
      </c>
      <c r="M383" s="169"/>
      <c r="N383" s="169">
        <f ca="1">IFERROR(__xludf.DUMMYFUNCTION("IMPORTRANGE(""https://docs.google.com/spreadsheets/d/1IYY_tgx_IHuhSq3AJ5eI5OnqOPBNLWSHKh2a30DoXe8/edit?usp=sharing"",""ภูเก็ต!M278"")"),80050)</f>
        <v>80050</v>
      </c>
      <c r="O383" s="169">
        <f t="shared" ca="1" si="109"/>
        <v>91.266674267472354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IFERROR(__xludf.DUMMYFUNCTION("IMPORTRANGE(""https://docs.google.com/spreadsheets/d/1IYY_tgx_IHuhSq3AJ5eI5OnqOPBNLWSHKh2a30DoXe8/edit?usp=sharing"",""ภูเก็ต!L279"")"),0)</f>
        <v>0</v>
      </c>
      <c r="M384" s="175"/>
      <c r="N384" s="175">
        <f ca="1">IFERROR(__xludf.DUMMYFUNCTION("IMPORTRANGE(""https://docs.google.com/spreadsheets/d/1IYY_tgx_IHuhSq3AJ5eI5OnqOPBNLWSHKh2a30DoXe8/edit?usp=sharing"",""ภูเก็ต!M279"")"),0)</f>
        <v>0</v>
      </c>
      <c r="O384" s="175">
        <f t="shared" ca="1" si="109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IFERROR(__xludf.DUMMYFUNCTION("IMPORTRANGE(""https://docs.google.com/spreadsheets/d/1IYY_tgx_IHuhSq3AJ5eI5OnqOPBNLWSHKh2a30DoXe8/edit?usp=sharing"",""ภูเก็ต!L280"")"),87710)</f>
        <v>87710</v>
      </c>
      <c r="M385" s="175"/>
      <c r="N385" s="172">
        <f ca="1">IFERROR(__xludf.DUMMYFUNCTION("IMPORTRANGE(""https://docs.google.com/spreadsheets/d/1IYY_tgx_IHuhSq3AJ5eI5OnqOPBNLWSHKh2a30DoXe8/edit?usp=sharing"",""ภูเก็ต!M280"")"),80050)</f>
        <v>80050</v>
      </c>
      <c r="O385" s="175">
        <f t="shared" ca="1" si="109"/>
        <v>91.266674267472354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IFERROR(__xludf.DUMMYFUNCTION("IMPORTRANGE(""https://docs.google.com/spreadsheets/d/1IYY_tgx_IHuhSq3AJ5eI5OnqOPBNLWSHKh2a30DoXe8/edit?usp=sharing"",""ภูเก็ต!M281"")"),32700)</f>
        <v>32700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IFERROR(__xludf.DUMMYFUNCTION("IMPORTRANGE(""https://docs.google.com/spreadsheets/d/1IYY_tgx_IHuhSq3AJ5eI5OnqOPBNLWSHKh2a30DoXe8/edit?usp=sharing"",""ภูเก็ต!M282"")"),31250)</f>
        <v>31250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IFERROR(__xludf.DUMMYFUNCTION("IMPORTRANGE(""https://docs.google.com/spreadsheets/d/1IYY_tgx_IHuhSq3AJ5eI5OnqOPBNLWSHKh2a30DoXe8/edit?usp=sharing"",""ภูเก็ต!M283"")"),0)</f>
        <v>0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IFERROR(__xludf.DUMMYFUNCTION("IMPORTRANGE(""https://docs.google.com/spreadsheets/d/1IYY_tgx_IHuhSq3AJ5eI5OnqOPBNLWSHKh2a30DoXe8/edit?usp=sharing"",""ภูเก็ต!M284"")"),16100)</f>
        <v>16100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IFERROR(__xludf.DUMMYFUNCTION("IMPORTRANGE(""https://docs.google.com/spreadsheets/d/1IYY_tgx_IHuhSq3AJ5eI5OnqOPBNLWSHKh2a30DoXe8/edit?usp=sharing"",""ภูเก็ต!J286"")"),0)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IFERROR(__xludf.DUMMYFUNCTION("IMPORTRANGE(""https://docs.google.com/spreadsheets/d/1IYY_tgx_IHuhSq3AJ5eI5OnqOPBNLWSHKh2a30DoXe8/edit?usp=sharing"",""ภูเก็ต!J287"")"),1)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IFERROR(__xludf.DUMMYFUNCTION("IMPORTRANGE(""https://docs.google.com/spreadsheets/d/1IYY_tgx_IHuhSq3AJ5eI5OnqOPBNLWSHKh2a30DoXe8/edit?usp=sharing"",""ภูเก็ต!J288"")"),1)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IFERROR(__xludf.DUMMYFUNCTION("IMPORTRANGE(""https://docs.google.com/spreadsheets/d/1IYY_tgx_IHuhSq3AJ5eI5OnqOPBNLWSHKh2a30DoXe8/edit?usp=sharing"",""ภูเก็ต!J289"")"),1)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IFERROR(__xludf.DUMMYFUNCTION("IMPORTRANGE(""https://docs.google.com/spreadsheets/d/1IYY_tgx_IHuhSq3AJ5eI5OnqOPBNLWSHKh2a30DoXe8/edit?usp=sharing"",""ภูเก็ต!I291"")"),5)</f>
        <v>5</v>
      </c>
      <c r="J396" s="204">
        <f ca="1">IFERROR(__xludf.DUMMYFUNCTION("IMPORTRANGE(""https://docs.google.com/spreadsheets/d/1IYY_tgx_IHuhSq3AJ5eI5OnqOPBNLWSHKh2a30DoXe8/edit?usp=sharing"",""ภูเก็ต!J291"")"),5)</f>
        <v>5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IFERROR(__xludf.DUMMYFUNCTION("IMPORTRANGE(""https://docs.google.com/spreadsheets/d/1IYY_tgx_IHuhSq3AJ5eI5OnqOPBNLWSHKh2a30DoXe8/edit?usp=sharing"",""ภูเก็ต!I292"")"),50)</f>
        <v>50</v>
      </c>
      <c r="J397" s="204">
        <f ca="1">IFERROR(__xludf.DUMMYFUNCTION("IMPORTRANGE(""https://docs.google.com/spreadsheets/d/1IYY_tgx_IHuhSq3AJ5eI5OnqOPBNLWSHKh2a30DoXe8/edit?usp=sharing"",""ภูเก็ต!J292"")"),0)</f>
        <v>0</v>
      </c>
      <c r="K397" s="167">
        <f t="shared" ca="1" si="110"/>
        <v>0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IFERROR(__xludf.DUMMYFUNCTION("IMPORTRANGE(""https://docs.google.com/spreadsheets/d/1IYY_tgx_IHuhSq3AJ5eI5OnqOPBNLWSHKh2a30DoXe8/edit?usp=sharing"",""ภูเก็ต!I293"")"),5)</f>
        <v>5</v>
      </c>
      <c r="J398" s="204">
        <f ca="1">IFERROR(__xludf.DUMMYFUNCTION("IMPORTRANGE(""https://docs.google.com/spreadsheets/d/1IYY_tgx_IHuhSq3AJ5eI5OnqOPBNLWSHKh2a30DoXe8/edit?usp=sharing"",""ภูเก็ต!J293"")"),0)</f>
        <v>0</v>
      </c>
      <c r="K398" s="167">
        <f t="shared" ca="1" si="110"/>
        <v>0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IFERROR(__xludf.DUMMYFUNCTION("IMPORTRANGE(""https://docs.google.com/spreadsheets/d/1IYY_tgx_IHuhSq3AJ5eI5OnqOPBNLWSHKh2a30DoXe8/edit?usp=sharing"",""ภูเก็ต!J294"")"),0)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IFERROR(__xludf.DUMMYFUNCTION("IMPORTRANGE(""https://docs.google.com/spreadsheets/d/1IYY_tgx_IHuhSq3AJ5eI5OnqOPBNLWSHKh2a30DoXe8/edit?usp=sharing"",""ภูเก็ต!J295"")"),0)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IFERROR(__xludf.DUMMYFUNCTION("IMPORTRANGE(""https://docs.google.com/spreadsheets/d/1IYY_tgx_IHuhSq3AJ5eI5OnqOPBNLWSHKh2a30DoXe8/edit?usp=sharing"",""ภูเก็ต!I296"")"),90)</f>
        <v>90</v>
      </c>
      <c r="J401" s="377">
        <f ca="1">IFERROR(__xludf.DUMMYFUNCTION("IMPORTRANGE(""https://docs.google.com/spreadsheets/d/1IYY_tgx_IHuhSq3AJ5eI5OnqOPBNLWSHKh2a30DoXe8/edit?usp=sharing"",""ภูเก็ต!J296"")"),90)</f>
        <v>90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IFERROR(__xludf.DUMMYFUNCTION("IMPORTRANGE(""https://docs.google.com/spreadsheets/d/1IYY_tgx_IHuhSq3AJ5eI5OnqOPBNLWSHKh2a30DoXe8/edit?usp=sharing"",""ภูเก็ต!L296"")"),116320)</f>
        <v>116320</v>
      </c>
      <c r="M401" s="379"/>
      <c r="N401" s="379">
        <f ca="1">IFERROR(__xludf.DUMMYFUNCTION("IMPORTRANGE(""https://docs.google.com/spreadsheets/d/1IYY_tgx_IHuhSq3AJ5eI5OnqOPBNLWSHKh2a30DoXe8/edit?usp=sharing"",""ภูเก็ต!M296"")"),116320)</f>
        <v>116320</v>
      </c>
      <c r="O401" s="379">
        <f ca="1">+IF(L401&gt;0,N401*100/L401,0)</f>
        <v>100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IFERROR(__xludf.DUMMYFUNCTION("IMPORTRANGE(""https://docs.google.com/spreadsheets/d/1IYY_tgx_IHuhSq3AJ5eI5OnqOPBNLWSHKh2a30DoXe8/edit?usp=sharing"",""ภูเก็ต!I297"")"),30)</f>
        <v>30</v>
      </c>
      <c r="J402" s="377">
        <f ca="1">IFERROR(__xludf.DUMMYFUNCTION("IMPORTRANGE(""https://docs.google.com/spreadsheets/d/1IYY_tgx_IHuhSq3AJ5eI5OnqOPBNLWSHKh2a30DoXe8/edit?usp=sharing"",""ภูเก็ต!J297"")"),30)</f>
        <v>30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IFERROR(__xludf.DUMMYFUNCTION("IMPORTRANGE(""https://docs.google.com/spreadsheets/d/1IYY_tgx_IHuhSq3AJ5eI5OnqOPBNLWSHKh2a30DoXe8/edit?usp=sharing"",""ภูเก็ต!L298"")"),0)</f>
        <v>0</v>
      </c>
      <c r="M403" s="168"/>
      <c r="N403" s="175">
        <f ca="1">IFERROR(__xludf.DUMMYFUNCTION("IMPORTRANGE(""https://docs.google.com/spreadsheets/d/1IYY_tgx_IHuhSq3AJ5eI5OnqOPBNLWSHKh2a30DoXe8/edit?usp=sharing"",""ภูเก็ต!M298"")"),0)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IFERROR(__xludf.DUMMYFUNCTION("IMPORTRANGE(""https://docs.google.com/spreadsheets/d/1IYY_tgx_IHuhSq3AJ5eI5OnqOPBNLWSHKh2a30DoXe8/edit?usp=sharing"",""ภูเก็ต!L299"")"),116320)</f>
        <v>116320</v>
      </c>
      <c r="M404" s="169"/>
      <c r="N404" s="175">
        <f ca="1">IFERROR(__xludf.DUMMYFUNCTION("IMPORTRANGE(""https://docs.google.com/spreadsheets/d/1IYY_tgx_IHuhSq3AJ5eI5OnqOPBNLWSHKh2a30DoXe8/edit?usp=sharing"",""ภูเก็ต!M299"")"),116320)</f>
        <v>116320</v>
      </c>
      <c r="O404" s="175">
        <f t="shared" ca="1" si="112"/>
        <v>100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IFERROR(__xludf.DUMMYFUNCTION("IMPORTRANGE(""https://docs.google.com/spreadsheets/d/1IYY_tgx_IHuhSq3AJ5eI5OnqOPBNLWSHKh2a30DoXe8/edit?usp=sharing"",""ภูเก็ต!L300"")"),0)</f>
        <v>0</v>
      </c>
      <c r="M405" s="175"/>
      <c r="N405" s="175">
        <f ca="1">IFERROR(__xludf.DUMMYFUNCTION("IMPORTRANGE(""https://docs.google.com/spreadsheets/d/1IYY_tgx_IHuhSq3AJ5eI5OnqOPBNLWSHKh2a30DoXe8/edit?usp=sharing"",""ภูเก็ต!M300"")"),0)</f>
        <v>0</v>
      </c>
      <c r="O405" s="175">
        <f t="shared" ca="1" si="112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IFERROR(__xludf.DUMMYFUNCTION("IMPORTRANGE(""https://docs.google.com/spreadsheets/d/1IYY_tgx_IHuhSq3AJ5eI5OnqOPBNLWSHKh2a30DoXe8/edit?usp=sharing"",""ภูเก็ต!L301"")"),116320)</f>
        <v>116320</v>
      </c>
      <c r="M406" s="175"/>
      <c r="N406" s="175">
        <f ca="1">IFERROR(__xludf.DUMMYFUNCTION("IMPORTRANGE(""https://docs.google.com/spreadsheets/d/1IYY_tgx_IHuhSq3AJ5eI5OnqOPBNLWSHKh2a30DoXe8/edit?usp=sharing"",""ภูเก็ต!M301"")"),116320)</f>
        <v>116320</v>
      </c>
      <c r="O406" s="175">
        <f t="shared" ca="1" si="112"/>
        <v>100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IFERROR(__xludf.DUMMYFUNCTION("IMPORTRANGE(""https://docs.google.com/spreadsheets/d/1IYY_tgx_IHuhSq3AJ5eI5OnqOPBNLWSHKh2a30DoXe8/edit?usp=sharing"",""ภูเก็ต!M302"")"),69500)</f>
        <v>69500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IFERROR(__xludf.DUMMYFUNCTION("IMPORTRANGE(""https://docs.google.com/spreadsheets/d/1IYY_tgx_IHuhSq3AJ5eI5OnqOPBNLWSHKh2a30DoXe8/edit?usp=sharing"",""ภูเก็ต!M303"")"),22000)</f>
        <v>22000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IFERROR(__xludf.DUMMYFUNCTION("IMPORTRANGE(""https://docs.google.com/spreadsheets/d/1IYY_tgx_IHuhSq3AJ5eI5OnqOPBNLWSHKh2a30DoXe8/edit?usp=sharing"",""ภูเก็ต!M304"")"),0)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IFERROR(__xludf.DUMMYFUNCTION("IMPORTRANGE(""https://docs.google.com/spreadsheets/d/1IYY_tgx_IHuhSq3AJ5eI5OnqOPBNLWSHKh2a30DoXe8/edit?usp=sharing"",""ภูเก็ต!M305"")"),24820)</f>
        <v>24820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IFERROR(__xludf.DUMMYFUNCTION("IMPORTRANGE(""https://docs.google.com/spreadsheets/d/1IYY_tgx_IHuhSq3AJ5eI5OnqOPBNLWSHKh2a30DoXe8/edit?usp=sharing"",""ภูเก็ต!J307"")"),0)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IFERROR(__xludf.DUMMYFUNCTION("IMPORTRANGE(""https://docs.google.com/spreadsheets/d/1IYY_tgx_IHuhSq3AJ5eI5OnqOPBNLWSHKh2a30DoXe8/edit?usp=sharing"",""ภูเก็ต!J308"")"),1)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IFERROR(__xludf.DUMMYFUNCTION("IMPORTRANGE(""https://docs.google.com/spreadsheets/d/1IYY_tgx_IHuhSq3AJ5eI5OnqOPBNLWSHKh2a30DoXe8/edit?usp=sharing"",""ภูเก็ต!J309"")"),1)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IFERROR(__xludf.DUMMYFUNCTION("IMPORTRANGE(""https://docs.google.com/spreadsheets/d/1IYY_tgx_IHuhSq3AJ5eI5OnqOPBNLWSHKh2a30DoXe8/edit?usp=sharing"",""ภูเก็ต!J310"")"),1)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IFERROR(__xludf.DUMMYFUNCTION("IMPORTRANGE(""https://docs.google.com/spreadsheets/d/1IYY_tgx_IHuhSq3AJ5eI5OnqOPBNLWSHKh2a30DoXe8/edit?usp=sharing"",""ภูเก็ต!I311"")"),30)</f>
        <v>30</v>
      </c>
      <c r="J416" s="207">
        <f ca="1">IFERROR(__xludf.DUMMYFUNCTION("IMPORTRANGE(""https://docs.google.com/spreadsheets/d/1IYY_tgx_IHuhSq3AJ5eI5OnqOPBNLWSHKh2a30DoXe8/edit?usp=sharing"",""ภูเก็ต!J311"")"),30)</f>
        <v>30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IFERROR(__xludf.DUMMYFUNCTION("IMPORTRANGE(""https://docs.google.com/spreadsheets/d/1IYY_tgx_IHuhSq3AJ5eI5OnqOPBNLWSHKh2a30DoXe8/edit?usp=sharing"",""ภูเก็ต!I312"")"),10)</f>
        <v>10</v>
      </c>
      <c r="J417" s="398">
        <f ca="1">IFERROR(__xludf.DUMMYFUNCTION("IMPORTRANGE(""https://docs.google.com/spreadsheets/d/1IYY_tgx_IHuhSq3AJ5eI5OnqOPBNLWSHKh2a30DoXe8/edit?usp=sharing"",""ภูเก็ต!J312"")"),10)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IFERROR(__xludf.DUMMYFUNCTION("IMPORTRANGE(""https://docs.google.com/spreadsheets/d/1IYY_tgx_IHuhSq3AJ5eI5OnqOPBNLWSHKh2a30DoXe8/edit?usp=sharing"",""ภูเก็ต!I313"")"),30)</f>
        <v>30</v>
      </c>
      <c r="J418" s="399">
        <f ca="1">IFERROR(__xludf.DUMMYFUNCTION("IMPORTRANGE(""https://docs.google.com/spreadsheets/d/1IYY_tgx_IHuhSq3AJ5eI5OnqOPBNLWSHKh2a30DoXe8/edit?usp=sharing"",""ภูเก็ต!J313"")"),30)</f>
        <v>30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IFERROR(__xludf.DUMMYFUNCTION("IMPORTRANGE(""https://docs.google.com/spreadsheets/d/1IYY_tgx_IHuhSq3AJ5eI5OnqOPBNLWSHKh2a30DoXe8/edit?usp=sharing"",""ภูเก็ต!I314"")"),10)</f>
        <v>10</v>
      </c>
      <c r="J419" s="400">
        <f ca="1">IFERROR(__xludf.DUMMYFUNCTION("IMPORTRANGE(""https://docs.google.com/spreadsheets/d/1IYY_tgx_IHuhSq3AJ5eI5OnqOPBNLWSHKh2a30DoXe8/edit?usp=sharing"",""ภูเก็ต!J314"")"),10)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IFERROR(__xludf.DUMMYFUNCTION("IMPORTRANGE(""https://docs.google.com/spreadsheets/d/1IYY_tgx_IHuhSq3AJ5eI5OnqOPBNLWSHKh2a30DoXe8/edit?usp=sharing"",""ภูเก็ต!I315"")"),10)</f>
        <v>10</v>
      </c>
      <c r="J420" s="400">
        <f ca="1">IFERROR(__xludf.DUMMYFUNCTION("IMPORTRANGE(""https://docs.google.com/spreadsheets/d/1IYY_tgx_IHuhSq3AJ5eI5OnqOPBNLWSHKh2a30DoXe8/edit?usp=sharing"",""ภูเก็ต!J315"")"),10)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IFERROR(__xludf.DUMMYFUNCTION("IMPORTRANGE(""https://docs.google.com/spreadsheets/d/1IYY_tgx_IHuhSq3AJ5eI5OnqOPBNLWSHKh2a30DoXe8/edit?usp=sharing"",""ภูเก็ต!I316"")"),10)</f>
        <v>10</v>
      </c>
      <c r="J421" s="398">
        <f ca="1">IFERROR(__xludf.DUMMYFUNCTION("IMPORTRANGE(""https://docs.google.com/spreadsheets/d/1IYY_tgx_IHuhSq3AJ5eI5OnqOPBNLWSHKh2a30DoXe8/edit?usp=sharing"",""ภูเก็ต!J316"")"),10)</f>
        <v>10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IFERROR(__xludf.DUMMYFUNCTION("IMPORTRANGE(""https://docs.google.com/spreadsheets/d/1IYY_tgx_IHuhSq3AJ5eI5OnqOPBNLWSHKh2a30DoXe8/edit?usp=sharing"",""ภูเก็ต!I317"")"),30)</f>
        <v>30</v>
      </c>
      <c r="J422" s="399">
        <f ca="1">IFERROR(__xludf.DUMMYFUNCTION("IMPORTRANGE(""https://docs.google.com/spreadsheets/d/1IYY_tgx_IHuhSq3AJ5eI5OnqOPBNLWSHKh2a30DoXe8/edit?usp=sharing"",""ภูเก็ต!J317"")"),30)</f>
        <v>30</v>
      </c>
      <c r="K422" s="208">
        <f t="shared" ca="1" si="113"/>
        <v>100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IFERROR(__xludf.DUMMYFUNCTION("IMPORTRANGE(""https://docs.google.com/spreadsheets/d/1IYY_tgx_IHuhSq3AJ5eI5OnqOPBNLWSHKh2a30DoXe8/edit?usp=sharing"",""ภูเก็ต!I318"")"),10)</f>
        <v>10</v>
      </c>
      <c r="J423" s="400">
        <f ca="1">IFERROR(__xludf.DUMMYFUNCTION("IMPORTRANGE(""https://docs.google.com/spreadsheets/d/1IYY_tgx_IHuhSq3AJ5eI5OnqOPBNLWSHKh2a30DoXe8/edit?usp=sharing"",""ภูเก็ต!J318"")"),10)</f>
        <v>10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IFERROR(__xludf.DUMMYFUNCTION("IMPORTRANGE(""https://docs.google.com/spreadsheets/d/1IYY_tgx_IHuhSq3AJ5eI5OnqOPBNLWSHKh2a30DoXe8/edit?usp=sharing"",""ภูเก็ต!I319"")"),10)</f>
        <v>10</v>
      </c>
      <c r="J424" s="400">
        <f ca="1">IFERROR(__xludf.DUMMYFUNCTION("IMPORTRANGE(""https://docs.google.com/spreadsheets/d/1IYY_tgx_IHuhSq3AJ5eI5OnqOPBNLWSHKh2a30DoXe8/edit?usp=sharing"",""ภูเก็ต!J319"")"),10)</f>
        <v>10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IFERROR(__xludf.DUMMYFUNCTION("IMPORTRANGE(""https://docs.google.com/spreadsheets/d/1IYY_tgx_IHuhSq3AJ5eI5OnqOPBNLWSHKh2a30DoXe8/edit?usp=sharing"",""ภูเก็ต!I320"")"),10)</f>
        <v>10</v>
      </c>
      <c r="J425" s="400">
        <f ca="1">IFERROR(__xludf.DUMMYFUNCTION("IMPORTRANGE(""https://docs.google.com/spreadsheets/d/1IYY_tgx_IHuhSq3AJ5eI5OnqOPBNLWSHKh2a30DoXe8/edit?usp=sharing"",""ภูเก็ต!J320"")"),10)</f>
        <v>10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IFERROR(__xludf.DUMMYFUNCTION("IMPORTRANGE(""https://docs.google.com/spreadsheets/d/1IYY_tgx_IHuhSq3AJ5eI5OnqOPBNLWSHKh2a30DoXe8/edit?usp=sharing"",""ภูเก็ต!I321"")"),10)</f>
        <v>10</v>
      </c>
      <c r="J426" s="398">
        <f ca="1">IFERROR(__xludf.DUMMYFUNCTION("IMPORTRANGE(""https://docs.google.com/spreadsheets/d/1IYY_tgx_IHuhSq3AJ5eI5OnqOPBNLWSHKh2a30DoXe8/edit?usp=sharing"",""ภูเก็ต!J321"")"),10)</f>
        <v>10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IFERROR(__xludf.DUMMYFUNCTION("IMPORTRANGE(""https://docs.google.com/spreadsheets/d/1IYY_tgx_IHuhSq3AJ5eI5OnqOPBNLWSHKh2a30DoXe8/edit?usp=sharing"",""ภูเก็ต!I322"")"),30)</f>
        <v>30</v>
      </c>
      <c r="J427" s="399">
        <f ca="1">IFERROR(__xludf.DUMMYFUNCTION("IMPORTRANGE(""https://docs.google.com/spreadsheets/d/1IYY_tgx_IHuhSq3AJ5eI5OnqOPBNLWSHKh2a30DoXe8/edit?usp=sharing"",""ภูเก็ต!J322"")"),30)</f>
        <v>30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IFERROR(__xludf.DUMMYFUNCTION("IMPORTRANGE(""https://docs.google.com/spreadsheets/d/1IYY_tgx_IHuhSq3AJ5eI5OnqOPBNLWSHKh2a30DoXe8/edit?usp=sharing"",""ภูเก็ต!I323"")"),10)</f>
        <v>10</v>
      </c>
      <c r="J428" s="400">
        <f ca="1">IFERROR(__xludf.DUMMYFUNCTION("IMPORTRANGE(""https://docs.google.com/spreadsheets/d/1IYY_tgx_IHuhSq3AJ5eI5OnqOPBNLWSHKh2a30DoXe8/edit?usp=sharing"",""ภูเก็ต!J323"")"),10)</f>
        <v>10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IFERROR(__xludf.DUMMYFUNCTION("IMPORTRANGE(""https://docs.google.com/spreadsheets/d/1IYY_tgx_IHuhSq3AJ5eI5OnqOPBNLWSHKh2a30DoXe8/edit?usp=sharing"",""ภูเก็ต!I324"")"),10)</f>
        <v>10</v>
      </c>
      <c r="J429" s="400">
        <f ca="1">IFERROR(__xludf.DUMMYFUNCTION("IMPORTRANGE(""https://docs.google.com/spreadsheets/d/1IYY_tgx_IHuhSq3AJ5eI5OnqOPBNLWSHKh2a30DoXe8/edit?usp=sharing"",""ภูเก็ต!J324"")"),10)</f>
        <v>10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IFERROR(__xludf.DUMMYFUNCTION("IMPORTRANGE(""https://docs.google.com/spreadsheets/d/1IYY_tgx_IHuhSq3AJ5eI5OnqOPBNLWSHKh2a30DoXe8/edit?usp=sharing"",""ภูเก็ต!I325"")"),20)</f>
        <v>20</v>
      </c>
      <c r="J430" s="398">
        <f ca="1">IFERROR(__xludf.DUMMYFUNCTION("IMPORTRANGE(""https://docs.google.com/spreadsheets/d/1IYY_tgx_IHuhSq3AJ5eI5OnqOPBNLWSHKh2a30DoXe8/edit?usp=sharing"",""ภูเก็ต!J325"")"),0)</f>
        <v>0</v>
      </c>
      <c r="K430" s="208">
        <f t="shared" ca="1" si="113"/>
        <v>0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IFERROR(__xludf.DUMMYFUNCTION("IMPORTRANGE(""https://docs.google.com/spreadsheets/d/1IYY_tgx_IHuhSq3AJ5eI5OnqOPBNLWSHKh2a30DoXe8/edit?usp=sharing"",""ภูเก็ต!I326"")"),10)</f>
        <v>10</v>
      </c>
      <c r="J431" s="400">
        <f ca="1">IFERROR(__xludf.DUMMYFUNCTION("IMPORTRANGE(""https://docs.google.com/spreadsheets/d/1IYY_tgx_IHuhSq3AJ5eI5OnqOPBNLWSHKh2a30DoXe8/edit?usp=sharing"",""ภูเก็ต!J326"")"),0)</f>
        <v>0</v>
      </c>
      <c r="K431" s="167">
        <f t="shared" ca="1" si="113"/>
        <v>0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IFERROR(__xludf.DUMMYFUNCTION("IMPORTRANGE(""https://docs.google.com/spreadsheets/d/1IYY_tgx_IHuhSq3AJ5eI5OnqOPBNLWSHKh2a30DoXe8/edit?usp=sharing"",""ภูเก็ต!I327"")"),10)</f>
        <v>10</v>
      </c>
      <c r="J432" s="400">
        <f ca="1">IFERROR(__xludf.DUMMYFUNCTION("IMPORTRANGE(""https://docs.google.com/spreadsheets/d/1IYY_tgx_IHuhSq3AJ5eI5OnqOPBNLWSHKh2a30DoXe8/edit?usp=sharing"",""ภูเก็ต!J327"")"),0)</f>
        <v>0</v>
      </c>
      <c r="K432" s="167">
        <f t="shared" ca="1" si="113"/>
        <v>0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IFERROR(__xludf.DUMMYFUNCTION("IMPORTRANGE(""https://docs.google.com/spreadsheets/d/1IYY_tgx_IHuhSq3AJ5eI5OnqOPBNLWSHKh2a30DoXe8/edit?usp=sharing"",""ภูเก็ต!J328"")"),0)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IFERROR(__xludf.DUMMYFUNCTION("IMPORTRANGE(""https://docs.google.com/spreadsheets/d/1IYY_tgx_IHuhSq3AJ5eI5OnqOPBNLWSHKh2a30DoXe8/edit?usp=sharing"",""ภูเก็ต!J329"")"),0)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IFERROR(__xludf.DUMMYFUNCTION("IMPORTRANGE(""https://docs.google.com/spreadsheets/d/1IYY_tgx_IHuhSq3AJ5eI5OnqOPBNLWSHKh2a30DoXe8/edit?usp=sharing"",""ภูเก็ต!I330"")"),10)</f>
        <v>10</v>
      </c>
      <c r="J435" s="416">
        <f ca="1">IFERROR(__xludf.DUMMYFUNCTION("IMPORTRANGE(""https://docs.google.com/spreadsheets/d/1IYY_tgx_IHuhSq3AJ5eI5OnqOPBNLWSHKh2a30DoXe8/edit?usp=sharing"",""ภูเก็ต!J330"")"),10)</f>
        <v>10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IFERROR(__xludf.DUMMYFUNCTION("IMPORTRANGE(""https://docs.google.com/spreadsheets/d/1IYY_tgx_IHuhSq3AJ5eI5OnqOPBNLWSHKh2a30DoXe8/edit?usp=sharing"",""ภูเก็ต!L330"")"),76000)</f>
        <v>76000</v>
      </c>
      <c r="M435" s="418"/>
      <c r="N435" s="418">
        <f ca="1">IFERROR(__xludf.DUMMYFUNCTION("IMPORTRANGE(""https://docs.google.com/spreadsheets/d/1IYY_tgx_IHuhSq3AJ5eI5OnqOPBNLWSHKh2a30DoXe8/edit?usp=sharing"",""ภูเก็ต!M330"")"),76000)</f>
        <v>76000</v>
      </c>
      <c r="O435" s="418">
        <f t="shared" ref="O435:O439" ca="1" si="114">+IF(L435&gt;0,N435*100/L435,0)</f>
        <v>100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IFERROR(__xludf.DUMMYFUNCTION("IMPORTRANGE(""https://docs.google.com/spreadsheets/d/1IYY_tgx_IHuhSq3AJ5eI5OnqOPBNLWSHKh2a30DoXe8/edit?usp=sharing"",""ภูเก็ต!L331"")"),0)</f>
        <v>0</v>
      </c>
      <c r="M436" s="168"/>
      <c r="N436" s="175">
        <f ca="1">IFERROR(__xludf.DUMMYFUNCTION("IMPORTRANGE(""https://docs.google.com/spreadsheets/d/1IYY_tgx_IHuhSq3AJ5eI5OnqOPBNLWSHKh2a30DoXe8/edit?usp=sharing"",""ภูเก็ต!M331"")"),0)</f>
        <v>0</v>
      </c>
      <c r="O436" s="175">
        <f t="shared" ca="1" si="114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IFERROR(__xludf.DUMMYFUNCTION("IMPORTRANGE(""https://docs.google.com/spreadsheets/d/1IYY_tgx_IHuhSq3AJ5eI5OnqOPBNLWSHKh2a30DoXe8/edit?usp=sharing"",""ภูเก็ต!L332"")"),76000)</f>
        <v>76000</v>
      </c>
      <c r="M437" s="169"/>
      <c r="N437" s="175">
        <f ca="1">IFERROR(__xludf.DUMMYFUNCTION("IMPORTRANGE(""https://docs.google.com/spreadsheets/d/1IYY_tgx_IHuhSq3AJ5eI5OnqOPBNLWSHKh2a30DoXe8/edit?usp=sharing"",""ภูเก็ต!M332"")"),76000)</f>
        <v>76000</v>
      </c>
      <c r="O437" s="175">
        <f t="shared" ca="1" si="114"/>
        <v>100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IFERROR(__xludf.DUMMYFUNCTION("IMPORTRANGE(""https://docs.google.com/spreadsheets/d/1IYY_tgx_IHuhSq3AJ5eI5OnqOPBNLWSHKh2a30DoXe8/edit?usp=sharing"",""ภูเก็ต!L333"")"),0)</f>
        <v>0</v>
      </c>
      <c r="M438" s="175"/>
      <c r="N438" s="175">
        <f ca="1">IFERROR(__xludf.DUMMYFUNCTION("IMPORTRANGE(""https://docs.google.com/spreadsheets/d/1IYY_tgx_IHuhSq3AJ5eI5OnqOPBNLWSHKh2a30DoXe8/edit?usp=sharing"",""ภูเก็ต!M333"")"),0)</f>
        <v>0</v>
      </c>
      <c r="O438" s="175">
        <f t="shared" ca="1" si="114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IFERROR(__xludf.DUMMYFUNCTION("IMPORTRANGE(""https://docs.google.com/spreadsheets/d/1IYY_tgx_IHuhSq3AJ5eI5OnqOPBNLWSHKh2a30DoXe8/edit?usp=sharing"",""ภูเก็ต!L334"")"),76000)</f>
        <v>76000</v>
      </c>
      <c r="M439" s="175"/>
      <c r="N439" s="175">
        <f ca="1">IFERROR(__xludf.DUMMYFUNCTION("IMPORTRANGE(""https://docs.google.com/spreadsheets/d/1IYY_tgx_IHuhSq3AJ5eI5OnqOPBNLWSHKh2a30DoXe8/edit?usp=sharing"",""ภูเก็ต!M334"")"),76000)</f>
        <v>76000</v>
      </c>
      <c r="O439" s="175">
        <f t="shared" ca="1" si="114"/>
        <v>100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IFERROR(__xludf.DUMMYFUNCTION("IMPORTRANGE(""https://docs.google.com/spreadsheets/d/1IYY_tgx_IHuhSq3AJ5eI5OnqOPBNLWSHKh2a30DoXe8/edit?usp=sharing"",""ภูเก็ต!M335"")"),25200)</f>
        <v>25200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IFERROR(__xludf.DUMMYFUNCTION("IMPORTRANGE(""https://docs.google.com/spreadsheets/d/1IYY_tgx_IHuhSq3AJ5eI5OnqOPBNLWSHKh2a30DoXe8/edit?usp=sharing"",""ภูเก็ต!M336"")"),0)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IFERROR(__xludf.DUMMYFUNCTION("IMPORTRANGE(""https://docs.google.com/spreadsheets/d/1IYY_tgx_IHuhSq3AJ5eI5OnqOPBNLWSHKh2a30DoXe8/edit?usp=sharing"",""ภูเก็ต!M337"")"),0)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IFERROR(__xludf.DUMMYFUNCTION("IMPORTRANGE(""https://docs.google.com/spreadsheets/d/1IYY_tgx_IHuhSq3AJ5eI5OnqOPBNLWSHKh2a30DoXe8/edit?usp=sharing"",""ภูเก็ต!M338"")"),50800)</f>
        <v>50800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IFERROR(__xludf.DUMMYFUNCTION("IMPORTRANGE(""https://docs.google.com/spreadsheets/d/1IYY_tgx_IHuhSq3AJ5eI5OnqOPBNLWSHKh2a30DoXe8/edit?usp=sharing"",""ภูเก็ต!J340"")"),0)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IFERROR(__xludf.DUMMYFUNCTION("IMPORTRANGE(""https://docs.google.com/spreadsheets/d/1IYY_tgx_IHuhSq3AJ5eI5OnqOPBNLWSHKh2a30DoXe8/edit?usp=sharing"",""ภูเก็ต!J341"")"),1)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IFERROR(__xludf.DUMMYFUNCTION("IMPORTRANGE(""https://docs.google.com/spreadsheets/d/1IYY_tgx_IHuhSq3AJ5eI5OnqOPBNLWSHKh2a30DoXe8/edit?usp=sharing"",""ภูเก็ต!J342"")"),1)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IFERROR(__xludf.DUMMYFUNCTION("IMPORTRANGE(""https://docs.google.com/spreadsheets/d/1IYY_tgx_IHuhSq3AJ5eI5OnqOPBNLWSHKh2a30DoXe8/edit?usp=sharing"",""ภูเก็ต!J343"")"),1)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IFERROR(__xludf.DUMMYFUNCTION("IMPORTRANGE(""https://docs.google.com/spreadsheets/d/1IYY_tgx_IHuhSq3AJ5eI5OnqOPBNLWSHKh2a30DoXe8/edit?usp=sharing"",""ภูเก็ต!I344"")"),10)</f>
        <v>10</v>
      </c>
      <c r="J449" s="207">
        <f ca="1">IFERROR(__xludf.DUMMYFUNCTION("IMPORTRANGE(""https://docs.google.com/spreadsheets/d/1IYY_tgx_IHuhSq3AJ5eI5OnqOPBNLWSHKh2a30DoXe8/edit?usp=sharing"",""ภูเก็ต!J344"")"),10)</f>
        <v>10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IFERROR(__xludf.DUMMYFUNCTION("IMPORTRANGE(""https://docs.google.com/spreadsheets/d/1IYY_tgx_IHuhSq3AJ5eI5OnqOPBNLWSHKh2a30DoXe8/edit?usp=sharing"",""ภูเก็ต!I345"")"),10)</f>
        <v>10</v>
      </c>
      <c r="J450" s="195">
        <f ca="1">IFERROR(__xludf.DUMMYFUNCTION("IMPORTRANGE(""https://docs.google.com/spreadsheets/d/1IYY_tgx_IHuhSq3AJ5eI5OnqOPBNLWSHKh2a30DoXe8/edit?usp=sharing"",""ภูเก็ต!J345"")"),10)</f>
        <v>10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IFERROR(__xludf.DUMMYFUNCTION("IMPORTRANGE(""https://docs.google.com/spreadsheets/d/1IYY_tgx_IHuhSq3AJ5eI5OnqOPBNLWSHKh2a30DoXe8/edit?usp=sharing"",""ภูเก็ต!I346"")"),0)</f>
        <v>0</v>
      </c>
      <c r="J451" s="194">
        <f ca="1">IFERROR(__xludf.DUMMYFUNCTION("IMPORTRANGE(""https://docs.google.com/spreadsheets/d/1IYY_tgx_IHuhSq3AJ5eI5OnqOPBNLWSHKh2a30DoXe8/edit?usp=sharing"",""ภูเก็ต!J346"")"),0)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IFERROR(__xludf.DUMMYFUNCTION("IMPORTRANGE(""https://docs.google.com/spreadsheets/d/1IYY_tgx_IHuhSq3AJ5eI5OnqOPBNLWSHKh2a30DoXe8/edit?usp=sharing"",""ภูเก็ต!I347"")"),0)</f>
        <v>0</v>
      </c>
      <c r="J452" s="194">
        <f ca="1">IFERROR(__xludf.DUMMYFUNCTION("IMPORTRANGE(""https://docs.google.com/spreadsheets/d/1IYY_tgx_IHuhSq3AJ5eI5OnqOPBNLWSHKh2a30DoXe8/edit?usp=sharing"",""ภูเก็ต!J347"")"),0)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IFERROR(__xludf.DUMMYFUNCTION("IMPORTRANGE(""https://docs.google.com/spreadsheets/d/1IYY_tgx_IHuhSq3AJ5eI5OnqOPBNLWSHKh2a30DoXe8/edit?usp=sharing"",""ภูเก็ต!J348"")"),0)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IFERROR(__xludf.DUMMYFUNCTION("IMPORTRANGE(""https://docs.google.com/spreadsheets/d/1IYY_tgx_IHuhSq3AJ5eI5OnqOPBNLWSHKh2a30DoXe8/edit?usp=sharing"",""ภูเก็ต!J349"")"),0)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IFERROR(__xludf.DUMMYFUNCTION("IMPORTRANGE(""https://docs.google.com/spreadsheets/d/1IYY_tgx_IHuhSq3AJ5eI5OnqOPBNLWSHKh2a30DoXe8/edit?usp=sharing"",""ภูเก็ต!I350"")"),0)</f>
        <v>0</v>
      </c>
      <c r="J455" s="377">
        <f ca="1">IFERROR(__xludf.DUMMYFUNCTION("IMPORTRANGE(""https://docs.google.com/spreadsheets/d/1IYY_tgx_IHuhSq3AJ5eI5OnqOPBNLWSHKh2a30DoXe8/edit?usp=sharing"",""ภูเก็ต!J350"")"),0)</f>
        <v>0</v>
      </c>
      <c r="K455" s="378">
        <f ca="1">IF(I455&gt;0,J455*100/I455,0)</f>
        <v>0</v>
      </c>
      <c r="L455" s="379">
        <f ca="1">IFERROR(__xludf.DUMMYFUNCTION("IMPORTRANGE(""https://docs.google.com/spreadsheets/d/1IYY_tgx_IHuhSq3AJ5eI5OnqOPBNLWSHKh2a30DoXe8/edit?usp=sharing"",""ภูเก็ต!L350"")"),0)</f>
        <v>0</v>
      </c>
      <c r="M455" s="379"/>
      <c r="N455" s="379">
        <f ca="1">IFERROR(__xludf.DUMMYFUNCTION("IMPORTRANGE(""https://docs.google.com/spreadsheets/d/1IYY_tgx_IHuhSq3AJ5eI5OnqOPBNLWSHKh2a30DoXe8/edit?usp=sharing"",""ภูเก็ต!M350"")"),0)</f>
        <v>0</v>
      </c>
      <c r="O455" s="379">
        <f t="shared" ref="O455:O459" ca="1" si="116">+IF(L455&gt;0,N455*100/L455,0)</f>
        <v>0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IFERROR(__xludf.DUMMYFUNCTION("IMPORTRANGE(""https://docs.google.com/spreadsheets/d/1IYY_tgx_IHuhSq3AJ5eI5OnqOPBNLWSHKh2a30DoXe8/edit?usp=sharing"",""ภูเก็ต!L351"")"),0)</f>
        <v>0</v>
      </c>
      <c r="M456" s="168"/>
      <c r="N456" s="175">
        <f ca="1">IFERROR(__xludf.DUMMYFUNCTION("IMPORTRANGE(""https://docs.google.com/spreadsheets/d/1IYY_tgx_IHuhSq3AJ5eI5OnqOPBNLWSHKh2a30DoXe8/edit?usp=sharing"",""ภูเก็ต!M351"")"),0)</f>
        <v>0</v>
      </c>
      <c r="O456" s="175">
        <f t="shared" ca="1" si="116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IFERROR(__xludf.DUMMYFUNCTION("IMPORTRANGE(""https://docs.google.com/spreadsheets/d/1IYY_tgx_IHuhSq3AJ5eI5OnqOPBNLWSHKh2a30DoXe8/edit?usp=sharing"",""ภูเก็ต!L352"")"),0)</f>
        <v>0</v>
      </c>
      <c r="M457" s="169"/>
      <c r="N457" s="175">
        <f ca="1">IFERROR(__xludf.DUMMYFUNCTION("IMPORTRANGE(""https://docs.google.com/spreadsheets/d/1IYY_tgx_IHuhSq3AJ5eI5OnqOPBNLWSHKh2a30DoXe8/edit?usp=sharing"",""ภูเก็ต!M352"")"),0)</f>
        <v>0</v>
      </c>
      <c r="O457" s="175">
        <f t="shared" ca="1" si="116"/>
        <v>0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IFERROR(__xludf.DUMMYFUNCTION("IMPORTRANGE(""https://docs.google.com/spreadsheets/d/1IYY_tgx_IHuhSq3AJ5eI5OnqOPBNLWSHKh2a30DoXe8/edit?usp=sharing"",""ภูเก็ต!L353"")"),0)</f>
        <v>0</v>
      </c>
      <c r="M458" s="175"/>
      <c r="N458" s="175">
        <f ca="1">IFERROR(__xludf.DUMMYFUNCTION("IMPORTRANGE(""https://docs.google.com/spreadsheets/d/1IYY_tgx_IHuhSq3AJ5eI5OnqOPBNLWSHKh2a30DoXe8/edit?usp=sharing"",""ภูเก็ต!M353"")"),0)</f>
        <v>0</v>
      </c>
      <c r="O458" s="175">
        <f t="shared" ca="1" si="116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IFERROR(__xludf.DUMMYFUNCTION("IMPORTRANGE(""https://docs.google.com/spreadsheets/d/1IYY_tgx_IHuhSq3AJ5eI5OnqOPBNLWSHKh2a30DoXe8/edit?usp=sharing"",""ภูเก็ต!L354"")"),0)</f>
        <v>0</v>
      </c>
      <c r="M459" s="175"/>
      <c r="N459" s="175">
        <f ca="1">IFERROR(__xludf.DUMMYFUNCTION("IMPORTRANGE(""https://docs.google.com/spreadsheets/d/1IYY_tgx_IHuhSq3AJ5eI5OnqOPBNLWSHKh2a30DoXe8/edit?usp=sharing"",""ภูเก็ต!M354"")"),0)</f>
        <v>0</v>
      </c>
      <c r="O459" s="175">
        <f t="shared" ca="1" si="116"/>
        <v>0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IFERROR(__xludf.DUMMYFUNCTION("IMPORTRANGE(""https://docs.google.com/spreadsheets/d/1IYY_tgx_IHuhSq3AJ5eI5OnqOPBNLWSHKh2a30DoXe8/edit?usp=sharing"",""ภูเก็ต!M355"")"),0)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IFERROR(__xludf.DUMMYFUNCTION("IMPORTRANGE(""https://docs.google.com/spreadsheets/d/1IYY_tgx_IHuhSq3AJ5eI5OnqOPBNLWSHKh2a30DoXe8/edit?usp=sharing"",""ภูเก็ต!M356"")"),0)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IFERROR(__xludf.DUMMYFUNCTION("IMPORTRANGE(""https://docs.google.com/spreadsheets/d/1IYY_tgx_IHuhSq3AJ5eI5OnqOPBNLWSHKh2a30DoXe8/edit?usp=sharing"",""ภูเก็ต!M357"")"),0)</f>
        <v>0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IFERROR(__xludf.DUMMYFUNCTION("IMPORTRANGE(""https://docs.google.com/spreadsheets/d/1IYY_tgx_IHuhSq3AJ5eI5OnqOPBNLWSHKh2a30DoXe8/edit?usp=sharing"",""ภูเก็ต!M358"")"),0)</f>
        <v>0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IFERROR(__xludf.DUMMYFUNCTION("IMPORTRANGE(""https://docs.google.com/spreadsheets/d/1IYY_tgx_IHuhSq3AJ5eI5OnqOPBNLWSHKh2a30DoXe8/edit?usp=sharing"",""ภูเก็ต!I359"")"),0)</f>
        <v>0</v>
      </c>
      <c r="J464" s="273">
        <f ca="1">IFERROR(__xludf.DUMMYFUNCTION("IMPORTRANGE(""https://docs.google.com/spreadsheets/d/1IYY_tgx_IHuhSq3AJ5eI5OnqOPBNLWSHKh2a30DoXe8/edit?usp=sharing"",""ภูเก็ต!J359"")"),0)</f>
        <v>0</v>
      </c>
      <c r="K464" s="274">
        <f t="shared" ref="K464:K515" ca="1" si="117">IF(I464&gt;0,J464*100/I464,0)</f>
        <v>0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IFERROR(__xludf.DUMMYFUNCTION("IMPORTRANGE(""https://docs.google.com/spreadsheets/d/1IYY_tgx_IHuhSq3AJ5eI5OnqOPBNLWSHKh2a30DoXe8/edit?usp=sharing"",""ภูเก็ต!I360"")"),0)</f>
        <v>0</v>
      </c>
      <c r="J465" s="426">
        <f ca="1">IFERROR(__xludf.DUMMYFUNCTION("IMPORTRANGE(""https://docs.google.com/spreadsheets/d/1IYY_tgx_IHuhSq3AJ5eI5OnqOPBNLWSHKh2a30DoXe8/edit?usp=sharing"",""ภูเก็ต!J360"")"),0)</f>
        <v>0</v>
      </c>
      <c r="K465" s="208">
        <f t="shared" ca="1" si="117"/>
        <v>0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IFERROR(__xludf.DUMMYFUNCTION("IMPORTRANGE(""https://docs.google.com/spreadsheets/d/1IYY_tgx_IHuhSq3AJ5eI5OnqOPBNLWSHKh2a30DoXe8/edit?usp=sharing"",""ภูเก็ต!I361"")"),0)</f>
        <v>0</v>
      </c>
      <c r="J466" s="426">
        <f ca="1">IFERROR(__xludf.DUMMYFUNCTION("IMPORTRANGE(""https://docs.google.com/spreadsheets/d/1IYY_tgx_IHuhSq3AJ5eI5OnqOPBNLWSHKh2a30DoXe8/edit?usp=sharing"",""ภูเก็ต!J361"")"),0)</f>
        <v>0</v>
      </c>
      <c r="K466" s="208">
        <f t="shared" ca="1" si="117"/>
        <v>0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IFERROR(__xludf.DUMMYFUNCTION("IMPORTRANGE(""https://docs.google.com/spreadsheets/d/1IYY_tgx_IHuhSq3AJ5eI5OnqOPBNLWSHKh2a30DoXe8/edit?usp=sharing"",""ภูเก็ต!I362"")"),0)</f>
        <v>0</v>
      </c>
      <c r="J467" s="195">
        <f ca="1">IFERROR(__xludf.DUMMYFUNCTION("IMPORTRANGE(""https://docs.google.com/spreadsheets/d/1IYY_tgx_IHuhSq3AJ5eI5OnqOPBNLWSHKh2a30DoXe8/edit?usp=sharing"",""ภูเก็ต!J362"")"),0)</f>
        <v>0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IFERROR(__xludf.DUMMYFUNCTION("IMPORTRANGE(""https://docs.google.com/spreadsheets/d/1IYY_tgx_IHuhSq3AJ5eI5OnqOPBNLWSHKh2a30DoXe8/edit?usp=sharing"",""ภูเก็ต!I363"")"),0)</f>
        <v>0</v>
      </c>
      <c r="J468" s="195">
        <f ca="1">IFERROR(__xludf.DUMMYFUNCTION("IMPORTRANGE(""https://docs.google.com/spreadsheets/d/1IYY_tgx_IHuhSq3AJ5eI5OnqOPBNLWSHKh2a30DoXe8/edit?usp=sharing"",""ภูเก็ต!J363"")"),0)</f>
        <v>0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IFERROR(__xludf.DUMMYFUNCTION("IMPORTRANGE(""https://docs.google.com/spreadsheets/d/1IYY_tgx_IHuhSq3AJ5eI5OnqOPBNLWSHKh2a30DoXe8/edit?usp=sharing"",""ภูเก็ต!I364"")"),0)</f>
        <v>0</v>
      </c>
      <c r="J469" s="195">
        <f ca="1">IFERROR(__xludf.DUMMYFUNCTION("IMPORTRANGE(""https://docs.google.com/spreadsheets/d/1IYY_tgx_IHuhSq3AJ5eI5OnqOPBNLWSHKh2a30DoXe8/edit?usp=sharing"",""ภูเก็ต!J364"")"),0)</f>
        <v>0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IFERROR(__xludf.DUMMYFUNCTION("IMPORTRANGE(""https://docs.google.com/spreadsheets/d/1IYY_tgx_IHuhSq3AJ5eI5OnqOPBNLWSHKh2a30DoXe8/edit?usp=sharing"",""ภูเก็ต!I365"")"),0)</f>
        <v>0</v>
      </c>
      <c r="J470" s="195">
        <f ca="1">IFERROR(__xludf.DUMMYFUNCTION("IMPORTRANGE(""https://docs.google.com/spreadsheets/d/1IYY_tgx_IHuhSq3AJ5eI5OnqOPBNLWSHKh2a30DoXe8/edit?usp=sharing"",""ภูเก็ต!J365"")"),0)</f>
        <v>0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IFERROR(__xludf.DUMMYFUNCTION("IMPORTRANGE(""https://docs.google.com/spreadsheets/d/1IYY_tgx_IHuhSq3AJ5eI5OnqOPBNLWSHKh2a30DoXe8/edit?usp=sharing"",""ภูเก็ต!I366"")"),0)</f>
        <v>0</v>
      </c>
      <c r="J471" s="195">
        <f ca="1">IFERROR(__xludf.DUMMYFUNCTION("IMPORTRANGE(""https://docs.google.com/spreadsheets/d/1IYY_tgx_IHuhSq3AJ5eI5OnqOPBNLWSHKh2a30DoXe8/edit?usp=sharing"",""ภูเก็ต!J366"")"),0)</f>
        <v>0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IFERROR(__xludf.DUMMYFUNCTION("IMPORTRANGE(""https://docs.google.com/spreadsheets/d/1IYY_tgx_IHuhSq3AJ5eI5OnqOPBNLWSHKh2a30DoXe8/edit?usp=sharing"",""ภูเก็ต!I367"")"),0)</f>
        <v>0</v>
      </c>
      <c r="J472" s="195">
        <f ca="1">IFERROR(__xludf.DUMMYFUNCTION("IMPORTRANGE(""https://docs.google.com/spreadsheets/d/1IYY_tgx_IHuhSq3AJ5eI5OnqOPBNLWSHKh2a30DoXe8/edit?usp=sharing"",""ภูเก็ต!J367"")"),0)</f>
        <v>0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IFERROR(__xludf.DUMMYFUNCTION("IMPORTRANGE(""https://docs.google.com/spreadsheets/d/1IYY_tgx_IHuhSq3AJ5eI5OnqOPBNLWSHKh2a30DoXe8/edit?usp=sharing"",""ภูเก็ต!I368"")"),0)</f>
        <v>0</v>
      </c>
      <c r="J473" s="426">
        <f ca="1">IFERROR(__xludf.DUMMYFUNCTION("IMPORTRANGE(""https://docs.google.com/spreadsheets/d/1IYY_tgx_IHuhSq3AJ5eI5OnqOPBNLWSHKh2a30DoXe8/edit?usp=sharing"",""ภูเก็ต!J368"")"),0)</f>
        <v>0</v>
      </c>
      <c r="K473" s="208">
        <f t="shared" ca="1" si="117"/>
        <v>0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IFERROR(__xludf.DUMMYFUNCTION("IMPORTRANGE(""https://docs.google.com/spreadsheets/d/1IYY_tgx_IHuhSq3AJ5eI5OnqOPBNLWSHKh2a30DoXe8/edit?usp=sharing"",""ภูเก็ต!I369"")"),0)</f>
        <v>0</v>
      </c>
      <c r="J474" s="426">
        <f ca="1">IFERROR(__xludf.DUMMYFUNCTION("IMPORTRANGE(""https://docs.google.com/spreadsheets/d/1IYY_tgx_IHuhSq3AJ5eI5OnqOPBNLWSHKh2a30DoXe8/edit?usp=sharing"",""ภูเก็ต!J369"")"),0)</f>
        <v>0</v>
      </c>
      <c r="K474" s="167">
        <f t="shared" ca="1" si="117"/>
        <v>0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IFERROR(__xludf.DUMMYFUNCTION("IMPORTRANGE(""https://docs.google.com/spreadsheets/d/1IYY_tgx_IHuhSq3AJ5eI5OnqOPBNLWSHKh2a30DoXe8/edit?usp=sharing"",""ภูเก็ต!I370"")"),0)</f>
        <v>0</v>
      </c>
      <c r="J475" s="195">
        <f ca="1">IFERROR(__xludf.DUMMYFUNCTION("IMPORTRANGE(""https://docs.google.com/spreadsheets/d/1IYY_tgx_IHuhSq3AJ5eI5OnqOPBNLWSHKh2a30DoXe8/edit?usp=sharing"",""ภูเก็ต!J370"")"),0)</f>
        <v>0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IFERROR(__xludf.DUMMYFUNCTION("IMPORTRANGE(""https://docs.google.com/spreadsheets/d/1IYY_tgx_IHuhSq3AJ5eI5OnqOPBNLWSHKh2a30DoXe8/edit?usp=sharing"",""ภูเก็ต!I371"")"),0)</f>
        <v>0</v>
      </c>
      <c r="J476" s="195">
        <f ca="1">IFERROR(__xludf.DUMMYFUNCTION("IMPORTRANGE(""https://docs.google.com/spreadsheets/d/1IYY_tgx_IHuhSq3AJ5eI5OnqOPBNLWSHKh2a30DoXe8/edit?usp=sharing"",""ภูเก็ต!J371"")"),0)</f>
        <v>0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IFERROR(__xludf.DUMMYFUNCTION("IMPORTRANGE(""https://docs.google.com/spreadsheets/d/1IYY_tgx_IHuhSq3AJ5eI5OnqOPBNLWSHKh2a30DoXe8/edit?usp=sharing"",""ภูเก็ต!I372"")"),0)</f>
        <v>0</v>
      </c>
      <c r="J477" s="195">
        <f ca="1">IFERROR(__xludf.DUMMYFUNCTION("IMPORTRANGE(""https://docs.google.com/spreadsheets/d/1IYY_tgx_IHuhSq3AJ5eI5OnqOPBNLWSHKh2a30DoXe8/edit?usp=sharing"",""ภูเก็ต!J372"")"),0)</f>
        <v>0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IFERROR(__xludf.DUMMYFUNCTION("IMPORTRANGE(""https://docs.google.com/spreadsheets/d/1IYY_tgx_IHuhSq3AJ5eI5OnqOPBNLWSHKh2a30DoXe8/edit?usp=sharing"",""ภูเก็ต!I373"")"),0)</f>
        <v>0</v>
      </c>
      <c r="J478" s="195">
        <f ca="1">IFERROR(__xludf.DUMMYFUNCTION("IMPORTRANGE(""https://docs.google.com/spreadsheets/d/1IYY_tgx_IHuhSq3AJ5eI5OnqOPBNLWSHKh2a30DoXe8/edit?usp=sharing"",""ภูเก็ต!J373"")"),0)</f>
        <v>0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IFERROR(__xludf.DUMMYFUNCTION("IMPORTRANGE(""https://docs.google.com/spreadsheets/d/1IYY_tgx_IHuhSq3AJ5eI5OnqOPBNLWSHKh2a30DoXe8/edit?usp=sharing"",""ภูเก็ต!I374"")"),0)</f>
        <v>0</v>
      </c>
      <c r="J479" s="195">
        <f ca="1">IFERROR(__xludf.DUMMYFUNCTION("IMPORTRANGE(""https://docs.google.com/spreadsheets/d/1IYY_tgx_IHuhSq3AJ5eI5OnqOPBNLWSHKh2a30DoXe8/edit?usp=sharing"",""ภูเก็ต!J374"")"),0)</f>
        <v>0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IFERROR(__xludf.DUMMYFUNCTION("IMPORTRANGE(""https://docs.google.com/spreadsheets/d/1IYY_tgx_IHuhSq3AJ5eI5OnqOPBNLWSHKh2a30DoXe8/edit?usp=sharing"",""ภูเก็ต!I375"")"),0)</f>
        <v>0</v>
      </c>
      <c r="J480" s="195">
        <f ca="1">IFERROR(__xludf.DUMMYFUNCTION("IMPORTRANGE(""https://docs.google.com/spreadsheets/d/1IYY_tgx_IHuhSq3AJ5eI5OnqOPBNLWSHKh2a30DoXe8/edit?usp=sharing"",""ภูเก็ต!J375"")"),0)</f>
        <v>0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IFERROR(__xludf.DUMMYFUNCTION("IMPORTRANGE(""https://docs.google.com/spreadsheets/d/1IYY_tgx_IHuhSq3AJ5eI5OnqOPBNLWSHKh2a30DoXe8/edit?usp=sharing"",""ภูเก็ต!I376"")"),0)</f>
        <v>0</v>
      </c>
      <c r="J481" s="426">
        <f ca="1">IFERROR(__xludf.DUMMYFUNCTION("IMPORTRANGE(""https://docs.google.com/spreadsheets/d/1IYY_tgx_IHuhSq3AJ5eI5OnqOPBNLWSHKh2a30DoXe8/edit?usp=sharing"",""ภูเก็ต!J376"")"),0)</f>
        <v>0</v>
      </c>
      <c r="K481" s="208">
        <f t="shared" ca="1" si="117"/>
        <v>0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IFERROR(__xludf.DUMMYFUNCTION("IMPORTRANGE(""https://docs.google.com/spreadsheets/d/1IYY_tgx_IHuhSq3AJ5eI5OnqOPBNLWSHKh2a30DoXe8/edit?usp=sharing"",""ภูเก็ต!I377"")"),0)</f>
        <v>0</v>
      </c>
      <c r="J482" s="426">
        <f ca="1">IFERROR(__xludf.DUMMYFUNCTION("IMPORTRANGE(""https://docs.google.com/spreadsheets/d/1IYY_tgx_IHuhSq3AJ5eI5OnqOPBNLWSHKh2a30DoXe8/edit?usp=sharing"",""ภูเก็ต!J377"")"),0)</f>
        <v>0</v>
      </c>
      <c r="K482" s="167">
        <f t="shared" ca="1" si="117"/>
        <v>0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IFERROR(__xludf.DUMMYFUNCTION("IMPORTRANGE(""https://docs.google.com/spreadsheets/d/1IYY_tgx_IHuhSq3AJ5eI5OnqOPBNLWSHKh2a30DoXe8/edit?usp=sharing"",""ภูเก็ต!I378"")"),0)</f>
        <v>0</v>
      </c>
      <c r="J483" s="195">
        <f ca="1">IFERROR(__xludf.DUMMYFUNCTION("IMPORTRANGE(""https://docs.google.com/spreadsheets/d/1IYY_tgx_IHuhSq3AJ5eI5OnqOPBNLWSHKh2a30DoXe8/edit?usp=sharing"",""ภูเก็ต!J378"")"),0)</f>
        <v>0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IFERROR(__xludf.DUMMYFUNCTION("IMPORTRANGE(""https://docs.google.com/spreadsheets/d/1IYY_tgx_IHuhSq3AJ5eI5OnqOPBNLWSHKh2a30DoXe8/edit?usp=sharing"",""ภูเก็ต!I379"")"),0)</f>
        <v>0</v>
      </c>
      <c r="J484" s="195">
        <f ca="1">IFERROR(__xludf.DUMMYFUNCTION("IMPORTRANGE(""https://docs.google.com/spreadsheets/d/1IYY_tgx_IHuhSq3AJ5eI5OnqOPBNLWSHKh2a30DoXe8/edit?usp=sharing"",""ภูเก็ต!J379"")"),0)</f>
        <v>0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IFERROR(__xludf.DUMMYFUNCTION("IMPORTRANGE(""https://docs.google.com/spreadsheets/d/1IYY_tgx_IHuhSq3AJ5eI5OnqOPBNLWSHKh2a30DoXe8/edit?usp=sharing"",""ภูเก็ต!I380"")"),0)</f>
        <v>0</v>
      </c>
      <c r="J485" s="195">
        <f ca="1">IFERROR(__xludf.DUMMYFUNCTION("IMPORTRANGE(""https://docs.google.com/spreadsheets/d/1IYY_tgx_IHuhSq3AJ5eI5OnqOPBNLWSHKh2a30DoXe8/edit?usp=sharing"",""ภูเก็ต!J380"")"),0)</f>
        <v>0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IFERROR(__xludf.DUMMYFUNCTION("IMPORTRANGE(""https://docs.google.com/spreadsheets/d/1IYY_tgx_IHuhSq3AJ5eI5OnqOPBNLWSHKh2a30DoXe8/edit?usp=sharing"",""ภูเก็ต!I381"")"),0)</f>
        <v>0</v>
      </c>
      <c r="J486" s="195">
        <f ca="1">IFERROR(__xludf.DUMMYFUNCTION("IMPORTRANGE(""https://docs.google.com/spreadsheets/d/1IYY_tgx_IHuhSq3AJ5eI5OnqOPBNLWSHKh2a30DoXe8/edit?usp=sharing"",""ภูเก็ต!J381"")"),0)</f>
        <v>0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IFERROR(__xludf.DUMMYFUNCTION("IMPORTRANGE(""https://docs.google.com/spreadsheets/d/1IYY_tgx_IHuhSq3AJ5eI5OnqOPBNLWSHKh2a30DoXe8/edit?usp=sharing"",""ภูเก็ต!I382"")"),0)</f>
        <v>0</v>
      </c>
      <c r="J487" s="426">
        <f ca="1">IFERROR(__xludf.DUMMYFUNCTION("IMPORTRANGE(""https://docs.google.com/spreadsheets/d/1IYY_tgx_IHuhSq3AJ5eI5OnqOPBNLWSHKh2a30DoXe8/edit?usp=sharing"",""ภูเก็ต!J382"")"),0)</f>
        <v>0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IFERROR(__xludf.DUMMYFUNCTION("IMPORTRANGE(""https://docs.google.com/spreadsheets/d/1IYY_tgx_IHuhSq3AJ5eI5OnqOPBNLWSHKh2a30DoXe8/edit?usp=sharing"",""ภูเก็ต!I383"")"),0)</f>
        <v>0</v>
      </c>
      <c r="J488" s="426">
        <f ca="1">IFERROR(__xludf.DUMMYFUNCTION("IMPORTRANGE(""https://docs.google.com/spreadsheets/d/1IYY_tgx_IHuhSq3AJ5eI5OnqOPBNLWSHKh2a30DoXe8/edit?usp=sharing"",""ภูเก็ต!J383"")"),0)</f>
        <v>0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IFERROR(__xludf.DUMMYFUNCTION("IMPORTRANGE(""https://docs.google.com/spreadsheets/d/1IYY_tgx_IHuhSq3AJ5eI5OnqOPBNLWSHKh2a30DoXe8/edit?usp=sharing"",""ภูเก็ต!I384"")"),0)</f>
        <v>0</v>
      </c>
      <c r="J489" s="195">
        <f ca="1">IFERROR(__xludf.DUMMYFUNCTION("IMPORTRANGE(""https://docs.google.com/spreadsheets/d/1IYY_tgx_IHuhSq3AJ5eI5OnqOPBNLWSHKh2a30DoXe8/edit?usp=sharing"",""ภูเก็ต!J384"")"),0)</f>
        <v>0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IFERROR(__xludf.DUMMYFUNCTION("IMPORTRANGE(""https://docs.google.com/spreadsheets/d/1IYY_tgx_IHuhSq3AJ5eI5OnqOPBNLWSHKh2a30DoXe8/edit?usp=sharing"",""ภูเก็ต!I385"")"),0)</f>
        <v>0</v>
      </c>
      <c r="J490" s="195">
        <f ca="1">IFERROR(__xludf.DUMMYFUNCTION("IMPORTRANGE(""https://docs.google.com/spreadsheets/d/1IYY_tgx_IHuhSq3AJ5eI5OnqOPBNLWSHKh2a30DoXe8/edit?usp=sharing"",""ภูเก็ต!J385"")"),0)</f>
        <v>0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IFERROR(__xludf.DUMMYFUNCTION("IMPORTRANGE(""https://docs.google.com/spreadsheets/d/1IYY_tgx_IHuhSq3AJ5eI5OnqOPBNLWSHKh2a30DoXe8/edit?usp=sharing"",""ภูเก็ต!I386"")"),0)</f>
        <v>0</v>
      </c>
      <c r="J491" s="195">
        <f ca="1">IFERROR(__xludf.DUMMYFUNCTION("IMPORTRANGE(""https://docs.google.com/spreadsheets/d/1IYY_tgx_IHuhSq3AJ5eI5OnqOPBNLWSHKh2a30DoXe8/edit?usp=sharing"",""ภูเก็ต!J386"")"),0)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IFERROR(__xludf.DUMMYFUNCTION("IMPORTRANGE(""https://docs.google.com/spreadsheets/d/1IYY_tgx_IHuhSq3AJ5eI5OnqOPBNLWSHKh2a30DoXe8/edit?usp=sharing"",""ภูเก็ต!I387"")"),0)</f>
        <v>0</v>
      </c>
      <c r="J492" s="195">
        <f ca="1">IFERROR(__xludf.DUMMYFUNCTION("IMPORTRANGE(""https://docs.google.com/spreadsheets/d/1IYY_tgx_IHuhSq3AJ5eI5OnqOPBNLWSHKh2a30DoXe8/edit?usp=sharing"",""ภูเก็ต!J387"")"),0)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IFERROR(__xludf.DUMMYFUNCTION("IMPORTRANGE(""https://docs.google.com/spreadsheets/d/1IYY_tgx_IHuhSq3AJ5eI5OnqOPBNLWSHKh2a30DoXe8/edit?usp=sharing"",""ภูเก็ต!I388"")"),0)</f>
        <v>0</v>
      </c>
      <c r="J493" s="195">
        <f ca="1">IFERROR(__xludf.DUMMYFUNCTION("IMPORTRANGE(""https://docs.google.com/spreadsheets/d/1IYY_tgx_IHuhSq3AJ5eI5OnqOPBNLWSHKh2a30DoXe8/edit?usp=sharing"",""ภูเก็ต!J388"")"),0)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IFERROR(__xludf.DUMMYFUNCTION("IMPORTRANGE(""https://docs.google.com/spreadsheets/d/1IYY_tgx_IHuhSq3AJ5eI5OnqOPBNLWSHKh2a30DoXe8/edit?usp=sharing"",""ภูเก็ต!I389"")"),0)</f>
        <v>0</v>
      </c>
      <c r="J494" s="442">
        <f ca="1">IFERROR(__xludf.DUMMYFUNCTION("IMPORTRANGE(""https://docs.google.com/spreadsheets/d/1IYY_tgx_IHuhSq3AJ5eI5OnqOPBNLWSHKh2a30DoXe8/edit?usp=sharing"",""ภูเก็ต!J389"")"),0)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IFERROR(__xludf.DUMMYFUNCTION("IMPORTRANGE(""https://docs.google.com/spreadsheets/d/1IYY_tgx_IHuhSq3AJ5eI5OnqOPBNLWSHKh2a30DoXe8/edit?usp=sharing"",""ภูเก็ต!I390"")"),0)</f>
        <v>0</v>
      </c>
      <c r="J495" s="442">
        <f ca="1">IFERROR(__xludf.DUMMYFUNCTION("IMPORTRANGE(""https://docs.google.com/spreadsheets/d/1IYY_tgx_IHuhSq3AJ5eI5OnqOPBNLWSHKh2a30DoXe8/edit?usp=sharing"",""ภูเก็ต!J390"")"),0)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IFERROR(__xludf.DUMMYFUNCTION("IMPORTRANGE(""https://docs.google.com/spreadsheets/d/1IYY_tgx_IHuhSq3AJ5eI5OnqOPBNLWSHKh2a30DoXe8/edit?usp=sharing"",""ภูเก็ต!I391"")"),0)</f>
        <v>0</v>
      </c>
      <c r="J496" s="442">
        <f ca="1">IFERROR(__xludf.DUMMYFUNCTION("IMPORTRANGE(""https://docs.google.com/spreadsheets/d/1IYY_tgx_IHuhSq3AJ5eI5OnqOPBNLWSHKh2a30DoXe8/edit?usp=sharing"",""ภูเก็ต!J391"")"),0)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IFERROR(__xludf.DUMMYFUNCTION("IMPORTRANGE(""https://docs.google.com/spreadsheets/d/1IYY_tgx_IHuhSq3AJ5eI5OnqOPBNLWSHKh2a30DoXe8/edit?usp=sharing"",""ภูเก็ต!I392"")"),0)</f>
        <v>0</v>
      </c>
      <c r="J497" s="449">
        <f ca="1">IFERROR(__xludf.DUMMYFUNCTION("IMPORTRANGE(""https://docs.google.com/spreadsheets/d/1IYY_tgx_IHuhSq3AJ5eI5OnqOPBNLWSHKh2a30DoXe8/edit?usp=sharing"",""ภูเก็ต!J392"")"),0)</f>
        <v>0</v>
      </c>
      <c r="K497" s="450">
        <f t="shared" ca="1" si="117"/>
        <v>0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IFERROR(__xludf.DUMMYFUNCTION("IMPORTRANGE(""https://docs.google.com/spreadsheets/d/1IYY_tgx_IHuhSq3AJ5eI5OnqOPBNLWSHKh2a30DoXe8/edit?usp=sharing"",""ภูเก็ต!I393"")"),0)</f>
        <v>0</v>
      </c>
      <c r="J498" s="426">
        <f ca="1">IFERROR(__xludf.DUMMYFUNCTION("IMPORTRANGE(""https://docs.google.com/spreadsheets/d/1IYY_tgx_IHuhSq3AJ5eI5OnqOPBNLWSHKh2a30DoXe8/edit?usp=sharing"",""ภูเก็ต!J393"")"),0)</f>
        <v>0</v>
      </c>
      <c r="K498" s="167">
        <f t="shared" ca="1" si="117"/>
        <v>0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IFERROR(__xludf.DUMMYFUNCTION("IMPORTRANGE(""https://docs.google.com/spreadsheets/d/1IYY_tgx_IHuhSq3AJ5eI5OnqOPBNLWSHKh2a30DoXe8/edit?usp=sharing"",""ภูเก็ต!I394"")"),0)</f>
        <v>0</v>
      </c>
      <c r="J499" s="426">
        <f ca="1">IFERROR(__xludf.DUMMYFUNCTION("IMPORTRANGE(""https://docs.google.com/spreadsheets/d/1IYY_tgx_IHuhSq3AJ5eI5OnqOPBNLWSHKh2a30DoXe8/edit?usp=sharing"",""ภูเก็ต!J394"")"),0)</f>
        <v>0</v>
      </c>
      <c r="K499" s="208">
        <f t="shared" ca="1" si="117"/>
        <v>0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IFERROR(__xludf.DUMMYFUNCTION("IMPORTRANGE(""https://docs.google.com/spreadsheets/d/1IYY_tgx_IHuhSq3AJ5eI5OnqOPBNLWSHKh2a30DoXe8/edit?usp=sharing"",""ภูเก็ต!I395"")"),0)</f>
        <v>0</v>
      </c>
      <c r="J500" s="166">
        <f ca="1">IFERROR(__xludf.DUMMYFUNCTION("IMPORTRANGE(""https://docs.google.com/spreadsheets/d/1IYY_tgx_IHuhSq3AJ5eI5OnqOPBNLWSHKh2a30DoXe8/edit?usp=sharing"",""ภูเก็ต!J395"")"),0)</f>
        <v>0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IFERROR(__xludf.DUMMYFUNCTION("IMPORTRANGE(""https://docs.google.com/spreadsheets/d/1IYY_tgx_IHuhSq3AJ5eI5OnqOPBNLWSHKh2a30DoXe8/edit?usp=sharing"",""ภูเก็ต!I396"")"),0)</f>
        <v>0</v>
      </c>
      <c r="J501" s="166">
        <f ca="1">IFERROR(__xludf.DUMMYFUNCTION("IMPORTRANGE(""https://docs.google.com/spreadsheets/d/1IYY_tgx_IHuhSq3AJ5eI5OnqOPBNLWSHKh2a30DoXe8/edit?usp=sharing"",""ภูเก็ต!J396"")"),0)</f>
        <v>0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IFERROR(__xludf.DUMMYFUNCTION("IMPORTRANGE(""https://docs.google.com/spreadsheets/d/1IYY_tgx_IHuhSq3AJ5eI5OnqOPBNLWSHKh2a30DoXe8/edit?usp=sharing"",""ภูเก็ต!I397"")"),0)</f>
        <v>0</v>
      </c>
      <c r="J502" s="195">
        <f ca="1">IFERROR(__xludf.DUMMYFUNCTION("IMPORTRANGE(""https://docs.google.com/spreadsheets/d/1IYY_tgx_IHuhSq3AJ5eI5OnqOPBNLWSHKh2a30DoXe8/edit?usp=sharing"",""ภูเก็ต!J397"")"),0)</f>
        <v>0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IFERROR(__xludf.DUMMYFUNCTION("IMPORTRANGE(""https://docs.google.com/spreadsheets/d/1IYY_tgx_IHuhSq3AJ5eI5OnqOPBNLWSHKh2a30DoXe8/edit?usp=sharing"",""ภูเก็ต!I398"")"),0)</f>
        <v>0</v>
      </c>
      <c r="J503" s="204">
        <f ca="1">IFERROR(__xludf.DUMMYFUNCTION("IMPORTRANGE(""https://docs.google.com/spreadsheets/d/1IYY_tgx_IHuhSq3AJ5eI5OnqOPBNLWSHKh2a30DoXe8/edit?usp=sharing"",""ภูเก็ต!J398"")"),0)</f>
        <v>0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IFERROR(__xludf.DUMMYFUNCTION("IMPORTRANGE(""https://docs.google.com/spreadsheets/d/1IYY_tgx_IHuhSq3AJ5eI5OnqOPBNLWSHKh2a30DoXe8/edit?usp=sharing"",""ภูเก็ต!I399"")"),0)</f>
        <v>0</v>
      </c>
      <c r="J504" s="195">
        <f ca="1">IFERROR(__xludf.DUMMYFUNCTION("IMPORTRANGE(""https://docs.google.com/spreadsheets/d/1IYY_tgx_IHuhSq3AJ5eI5OnqOPBNLWSHKh2a30DoXe8/edit?usp=sharing"",""ภูเก็ต!J399"")"),0)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IFERROR(__xludf.DUMMYFUNCTION("IMPORTRANGE(""https://docs.google.com/spreadsheets/d/1IYY_tgx_IHuhSq3AJ5eI5OnqOPBNLWSHKh2a30DoXe8/edit?usp=sharing"",""ภูเก็ต!I400"")"),0)</f>
        <v>0</v>
      </c>
      <c r="J505" s="204">
        <f ca="1">IFERROR(__xludf.DUMMYFUNCTION("IMPORTRANGE(""https://docs.google.com/spreadsheets/d/1IYY_tgx_IHuhSq3AJ5eI5OnqOPBNLWSHKh2a30DoXe8/edit?usp=sharing"",""ภูเก็ต!J400"")"),0)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IFERROR(__xludf.DUMMYFUNCTION("IMPORTRANGE(""https://docs.google.com/spreadsheets/d/1IYY_tgx_IHuhSq3AJ5eI5OnqOPBNLWSHKh2a30DoXe8/edit?usp=sharing"",""ภูเก็ต!I401"")"),0)</f>
        <v>0</v>
      </c>
      <c r="J506" s="195">
        <f ca="1">IFERROR(__xludf.DUMMYFUNCTION("IMPORTRANGE(""https://docs.google.com/spreadsheets/d/1IYY_tgx_IHuhSq3AJ5eI5OnqOPBNLWSHKh2a30DoXe8/edit?usp=sharing"",""ภูเก็ต!J401"")"),0)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IFERROR(__xludf.DUMMYFUNCTION("IMPORTRANGE(""https://docs.google.com/spreadsheets/d/1IYY_tgx_IHuhSq3AJ5eI5OnqOPBNLWSHKh2a30DoXe8/edit?usp=sharing"",""ภูเก็ต!I402"")"),0)</f>
        <v>0</v>
      </c>
      <c r="J507" s="204">
        <f ca="1">IFERROR(__xludf.DUMMYFUNCTION("IMPORTRANGE(""https://docs.google.com/spreadsheets/d/1IYY_tgx_IHuhSq3AJ5eI5OnqOPBNLWSHKh2a30DoXe8/edit?usp=sharing"",""ภูเก็ต!J402"")"),0)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IFERROR(__xludf.DUMMYFUNCTION("IMPORTRANGE(""https://docs.google.com/spreadsheets/d/1IYY_tgx_IHuhSq3AJ5eI5OnqOPBNLWSHKh2a30DoXe8/edit?usp=sharing"",""ภูเก็ต!I403"")"),0)</f>
        <v>0</v>
      </c>
      <c r="J508" s="166">
        <f ca="1">IFERROR(__xludf.DUMMYFUNCTION("IMPORTRANGE(""https://docs.google.com/spreadsheets/d/1IYY_tgx_IHuhSq3AJ5eI5OnqOPBNLWSHKh2a30DoXe8/edit?usp=sharing"",""ภูเก็ต!J403"")"),0)</f>
        <v>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IFERROR(__xludf.DUMMYFUNCTION("IMPORTRANGE(""https://docs.google.com/spreadsheets/d/1IYY_tgx_IHuhSq3AJ5eI5OnqOPBNLWSHKh2a30DoXe8/edit?usp=sharing"",""ภูเก็ต!I404"")"),0)</f>
        <v>0</v>
      </c>
      <c r="J509" s="166">
        <f ca="1">IFERROR(__xludf.DUMMYFUNCTION("IMPORTRANGE(""https://docs.google.com/spreadsheets/d/1IYY_tgx_IHuhSq3AJ5eI5OnqOPBNLWSHKh2a30DoXe8/edit?usp=sharing"",""ภูเก็ต!J404"")"),0)</f>
        <v>0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IFERROR(__xludf.DUMMYFUNCTION("IMPORTRANGE(""https://docs.google.com/spreadsheets/d/1IYY_tgx_IHuhSq3AJ5eI5OnqOPBNLWSHKh2a30DoXe8/edit?usp=sharing"",""ภูเก็ต!I405"")"),0)</f>
        <v>0</v>
      </c>
      <c r="J510" s="204">
        <f ca="1">IFERROR(__xludf.DUMMYFUNCTION("IMPORTRANGE(""https://docs.google.com/spreadsheets/d/1IYY_tgx_IHuhSq3AJ5eI5OnqOPBNLWSHKh2a30DoXe8/edit?usp=sharing"",""ภูเก็ต!J405"")"),0)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IFERROR(__xludf.DUMMYFUNCTION("IMPORTRANGE(""https://docs.google.com/spreadsheets/d/1IYY_tgx_IHuhSq3AJ5eI5OnqOPBNLWSHKh2a30DoXe8/edit?usp=sharing"",""ภูเก็ต!I406"")"),0)</f>
        <v>0</v>
      </c>
      <c r="J511" s="204">
        <f ca="1">IFERROR(__xludf.DUMMYFUNCTION("IMPORTRANGE(""https://docs.google.com/spreadsheets/d/1IYY_tgx_IHuhSq3AJ5eI5OnqOPBNLWSHKh2a30DoXe8/edit?usp=sharing"",""ภูเก็ต!J406"")"),0)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IFERROR(__xludf.DUMMYFUNCTION("IMPORTRANGE(""https://docs.google.com/spreadsheets/d/1IYY_tgx_IHuhSq3AJ5eI5OnqOPBNLWSHKh2a30DoXe8/edit?usp=sharing"",""ภูเก็ต!I407"")"),0)</f>
        <v>0</v>
      </c>
      <c r="J512" s="204">
        <f ca="1">IFERROR(__xludf.DUMMYFUNCTION("IMPORTRANGE(""https://docs.google.com/spreadsheets/d/1IYY_tgx_IHuhSq3AJ5eI5OnqOPBNLWSHKh2a30DoXe8/edit?usp=sharing"",""ภูเก็ต!J407"")"),0)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IFERROR(__xludf.DUMMYFUNCTION("IMPORTRANGE(""https://docs.google.com/spreadsheets/d/1IYY_tgx_IHuhSq3AJ5eI5OnqOPBNLWSHKh2a30DoXe8/edit?usp=sharing"",""ภูเก็ต!I408"")"),0)</f>
        <v>0</v>
      </c>
      <c r="J513" s="204">
        <f ca="1">IFERROR(__xludf.DUMMYFUNCTION("IMPORTRANGE(""https://docs.google.com/spreadsheets/d/1IYY_tgx_IHuhSq3AJ5eI5OnqOPBNLWSHKh2a30DoXe8/edit?usp=sharing"",""ภูเก็ต!J408"")"),0)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IFERROR(__xludf.DUMMYFUNCTION("IMPORTRANGE(""https://docs.google.com/spreadsheets/d/1IYY_tgx_IHuhSq3AJ5eI5OnqOPBNLWSHKh2a30DoXe8/edit?usp=sharing"",""ภูเก็ต!I409"")"),0)</f>
        <v>0</v>
      </c>
      <c r="J514" s="204">
        <f ca="1">IFERROR(__xludf.DUMMYFUNCTION("IMPORTRANGE(""https://docs.google.com/spreadsheets/d/1IYY_tgx_IHuhSq3AJ5eI5OnqOPBNLWSHKh2a30DoXe8/edit?usp=sharing"",""ภูเก็ต!J409"")"),0)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IFERROR(__xludf.DUMMYFUNCTION("IMPORTRANGE(""https://docs.google.com/spreadsheets/d/1IYY_tgx_IHuhSq3AJ5eI5OnqOPBNLWSHKh2a30DoXe8/edit?usp=sharing"",""ภูเก็ต!I410"")"),0)</f>
        <v>0</v>
      </c>
      <c r="J515" s="204">
        <f ca="1">IFERROR(__xludf.DUMMYFUNCTION("IMPORTRANGE(""https://docs.google.com/spreadsheets/d/1IYY_tgx_IHuhSq3AJ5eI5OnqOPBNLWSHKh2a30DoXe8/edit?usp=sharing"",""ภูเก็ต!J410"")"),0)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IFERROR(__xludf.DUMMYFUNCTION("IMPORTRANGE(""https://docs.google.com/spreadsheets/d/1IYY_tgx_IHuhSq3AJ5eI5OnqOPBNLWSHKh2a30DoXe8/edit?usp=sharing"",""ภูเก็ต!I411"")"),0)</f>
        <v>0</v>
      </c>
      <c r="J516" s="273">
        <f ca="1">IFERROR(__xludf.DUMMYFUNCTION("IMPORTRANGE(""https://docs.google.com/spreadsheets/d/1IYY_tgx_IHuhSq3AJ5eI5OnqOPBNLWSHKh2a30DoXe8/edit?usp=sharing"",""ภูเก็ต!J411"")"),0)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IFERROR(__xludf.DUMMYFUNCTION("IMPORTRANGE(""https://docs.google.com/spreadsheets/d/1IYY_tgx_IHuhSq3AJ5eI5OnqOPBNLWSHKh2a30DoXe8/edit?usp=sharing"",""ภูเก็ต!I412"")"),0)</f>
        <v>0</v>
      </c>
      <c r="J517" s="290">
        <f ca="1">IFERROR(__xludf.DUMMYFUNCTION("IMPORTRANGE(""https://docs.google.com/spreadsheets/d/1IYY_tgx_IHuhSq3AJ5eI5OnqOPBNLWSHKh2a30DoXe8/edit?usp=sharing"",""ภูเก็ต!J412"")"),0)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IFERROR(__xludf.DUMMYFUNCTION("IMPORTRANGE(""https://docs.google.com/spreadsheets/d/1IYY_tgx_IHuhSq3AJ5eI5OnqOPBNLWSHKh2a30DoXe8/edit?usp=sharing"",""ภูเก็ต!I413"")"),0)</f>
        <v>0</v>
      </c>
      <c r="J518" s="290">
        <f ca="1">IFERROR(__xludf.DUMMYFUNCTION("IMPORTRANGE(""https://docs.google.com/spreadsheets/d/1IYY_tgx_IHuhSq3AJ5eI5OnqOPBNLWSHKh2a30DoXe8/edit?usp=sharing"",""ภูเก็ต!J413"")"),0)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IFERROR(__xludf.DUMMYFUNCTION("IMPORTRANGE(""https://docs.google.com/spreadsheets/d/1IYY_tgx_IHuhSq3AJ5eI5OnqOPBNLWSHKh2a30DoXe8/edit?usp=sharing"",""ภูเก็ต!I414"")"),0)</f>
        <v>0</v>
      </c>
      <c r="J519" s="194">
        <f ca="1">IFERROR(__xludf.DUMMYFUNCTION("IMPORTRANGE(""https://docs.google.com/spreadsheets/d/1IYY_tgx_IHuhSq3AJ5eI5OnqOPBNLWSHKh2a30DoXe8/edit?usp=sharing"",""ภูเก็ต!J414"")"),0)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IFERROR(__xludf.DUMMYFUNCTION("IMPORTRANGE(""https://docs.google.com/spreadsheets/d/1IYY_tgx_IHuhSq3AJ5eI5OnqOPBNLWSHKh2a30DoXe8/edit?usp=sharing"",""ภูเก็ต!I415"")"),0)</f>
        <v>0</v>
      </c>
      <c r="J520" s="194">
        <f ca="1">IFERROR(__xludf.DUMMYFUNCTION("IMPORTRANGE(""https://docs.google.com/spreadsheets/d/1IYY_tgx_IHuhSq3AJ5eI5OnqOPBNLWSHKh2a30DoXe8/edit?usp=sharing"",""ภูเก็ต!J415"")"),0)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IFERROR(__xludf.DUMMYFUNCTION("IMPORTRANGE(""https://docs.google.com/spreadsheets/d/1IYY_tgx_IHuhSq3AJ5eI5OnqOPBNLWSHKh2a30DoXe8/edit?usp=sharing"",""ภูเก็ต!I416"")"),0)</f>
        <v>0</v>
      </c>
      <c r="J521" s="194">
        <f ca="1">IFERROR(__xludf.DUMMYFUNCTION("IMPORTRANGE(""https://docs.google.com/spreadsheets/d/1IYY_tgx_IHuhSq3AJ5eI5OnqOPBNLWSHKh2a30DoXe8/edit?usp=sharing"",""ภูเก็ต!J416"")"),0)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IFERROR(__xludf.DUMMYFUNCTION("IMPORTRANGE(""https://docs.google.com/spreadsheets/d/1IYY_tgx_IHuhSq3AJ5eI5OnqOPBNLWSHKh2a30DoXe8/edit?usp=sharing"",""ภูเก็ต!I417"")"),0)</f>
        <v>0</v>
      </c>
      <c r="J522" s="194">
        <f ca="1">IFERROR(__xludf.DUMMYFUNCTION("IMPORTRANGE(""https://docs.google.com/spreadsheets/d/1IYY_tgx_IHuhSq3AJ5eI5OnqOPBNLWSHKh2a30DoXe8/edit?usp=sharing"",""ภูเก็ต!J417"")"),0)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IFERROR(__xludf.DUMMYFUNCTION("IMPORTRANGE(""https://docs.google.com/spreadsheets/d/1IYY_tgx_IHuhSq3AJ5eI5OnqOPBNLWSHKh2a30DoXe8/edit?usp=sharing"",""ภูเก็ต!I418"")"),0)</f>
        <v>0</v>
      </c>
      <c r="J523" s="194">
        <f ca="1">IFERROR(__xludf.DUMMYFUNCTION("IMPORTRANGE(""https://docs.google.com/spreadsheets/d/1IYY_tgx_IHuhSq3AJ5eI5OnqOPBNLWSHKh2a30DoXe8/edit?usp=sharing"",""ภูเก็ต!J418"")"),0)</f>
        <v>0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IFERROR(__xludf.DUMMYFUNCTION("IMPORTRANGE(""https://docs.google.com/spreadsheets/d/1IYY_tgx_IHuhSq3AJ5eI5OnqOPBNLWSHKh2a30DoXe8/edit?usp=sharing"",""ภูเก็ต!I419"")"),0)</f>
        <v>0</v>
      </c>
      <c r="J524" s="194">
        <f ca="1">IFERROR(__xludf.DUMMYFUNCTION("IMPORTRANGE(""https://docs.google.com/spreadsheets/d/1IYY_tgx_IHuhSq3AJ5eI5OnqOPBNLWSHKh2a30DoXe8/edit?usp=sharing"",""ภูเก็ต!J419"")"),0)</f>
        <v>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IFERROR(__xludf.DUMMYFUNCTION("IMPORTRANGE(""https://docs.google.com/spreadsheets/d/1IYY_tgx_IHuhSq3AJ5eI5OnqOPBNLWSHKh2a30DoXe8/edit?usp=sharing"",""ภูเก็ต!I420"")"),0)</f>
        <v>0</v>
      </c>
      <c r="J525" s="290">
        <f ca="1">IFERROR(__xludf.DUMMYFUNCTION("IMPORTRANGE(""https://docs.google.com/spreadsheets/d/1IYY_tgx_IHuhSq3AJ5eI5OnqOPBNLWSHKh2a30DoXe8/edit?usp=sharing"",""ภูเก็ต!J420"")"),0)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IFERROR(__xludf.DUMMYFUNCTION("IMPORTRANGE(""https://docs.google.com/spreadsheets/d/1IYY_tgx_IHuhSq3AJ5eI5OnqOPBNLWSHKh2a30DoXe8/edit?usp=sharing"",""ภูเก็ต!I421"")"),0)</f>
        <v>0</v>
      </c>
      <c r="J526" s="290">
        <f ca="1">IFERROR(__xludf.DUMMYFUNCTION("IMPORTRANGE(""https://docs.google.com/spreadsheets/d/1IYY_tgx_IHuhSq3AJ5eI5OnqOPBNLWSHKh2a30DoXe8/edit?usp=sharing"",""ภูเก็ต!J421"")"),0)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IFERROR(__xludf.DUMMYFUNCTION("IMPORTRANGE(""https://docs.google.com/spreadsheets/d/1IYY_tgx_IHuhSq3AJ5eI5OnqOPBNLWSHKh2a30DoXe8/edit?usp=sharing"",""ภูเก็ต!I422"")"),0)</f>
        <v>0</v>
      </c>
      <c r="J527" s="204">
        <f ca="1">IFERROR(__xludf.DUMMYFUNCTION("IMPORTRANGE(""https://docs.google.com/spreadsheets/d/1IYY_tgx_IHuhSq3AJ5eI5OnqOPBNLWSHKh2a30DoXe8/edit?usp=sharing"",""ภูเก็ต!J422"")"),0)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IFERROR(__xludf.DUMMYFUNCTION("IMPORTRANGE(""https://docs.google.com/spreadsheets/d/1IYY_tgx_IHuhSq3AJ5eI5OnqOPBNLWSHKh2a30DoXe8/edit?usp=sharing"",""ภูเก็ต!I423"")"),0)</f>
        <v>0</v>
      </c>
      <c r="J528" s="204">
        <f ca="1">IFERROR(__xludf.DUMMYFUNCTION("IMPORTRANGE(""https://docs.google.com/spreadsheets/d/1IYY_tgx_IHuhSq3AJ5eI5OnqOPBNLWSHKh2a30DoXe8/edit?usp=sharing"",""ภูเก็ต!J423"")"),0)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IFERROR(__xludf.DUMMYFUNCTION("IMPORTRANGE(""https://docs.google.com/spreadsheets/d/1IYY_tgx_IHuhSq3AJ5eI5OnqOPBNLWSHKh2a30DoXe8/edit?usp=sharing"",""ภูเก็ต!I424"")"),0)</f>
        <v>0</v>
      </c>
      <c r="J529" s="204">
        <f ca="1">IFERROR(__xludf.DUMMYFUNCTION("IMPORTRANGE(""https://docs.google.com/spreadsheets/d/1IYY_tgx_IHuhSq3AJ5eI5OnqOPBNLWSHKh2a30DoXe8/edit?usp=sharing"",""ภูเก็ต!J424"")"),0)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IFERROR(__xludf.DUMMYFUNCTION("IMPORTRANGE(""https://docs.google.com/spreadsheets/d/1IYY_tgx_IHuhSq3AJ5eI5OnqOPBNLWSHKh2a30DoXe8/edit?usp=sharing"",""ภูเก็ต!I425"")"),0)</f>
        <v>0</v>
      </c>
      <c r="J530" s="204">
        <f ca="1">IFERROR(__xludf.DUMMYFUNCTION("IMPORTRANGE(""https://docs.google.com/spreadsheets/d/1IYY_tgx_IHuhSq3AJ5eI5OnqOPBNLWSHKh2a30DoXe8/edit?usp=sharing"",""ภูเก็ต!J425"")"),0)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IFERROR(__xludf.DUMMYFUNCTION("IMPORTRANGE(""https://docs.google.com/spreadsheets/d/1IYY_tgx_IHuhSq3AJ5eI5OnqOPBNLWSHKh2a30DoXe8/edit?usp=sharing"",""ภูเก็ต!I426"")"),0)</f>
        <v>0</v>
      </c>
      <c r="J531" s="204">
        <f ca="1">IFERROR(__xludf.DUMMYFUNCTION("IMPORTRANGE(""https://docs.google.com/spreadsheets/d/1IYY_tgx_IHuhSq3AJ5eI5OnqOPBNLWSHKh2a30DoXe8/edit?usp=sharing"",""ภูเก็ต!J426"")"),0)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IFERROR(__xludf.DUMMYFUNCTION("IMPORTRANGE(""https://docs.google.com/spreadsheets/d/1IYY_tgx_IHuhSq3AJ5eI5OnqOPBNLWSHKh2a30DoXe8/edit?usp=sharing"",""ภูเก็ต!I427"")"),0)</f>
        <v>0</v>
      </c>
      <c r="J532" s="472">
        <f ca="1">IFERROR(__xludf.DUMMYFUNCTION("IMPORTRANGE(""https://docs.google.com/spreadsheets/d/1IYY_tgx_IHuhSq3AJ5eI5OnqOPBNLWSHKh2a30DoXe8/edit?usp=sharing"",""ภูเก็ต!J427"")"),0)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IFERROR(__xludf.DUMMYFUNCTION("IMPORTRANGE(""https://docs.google.com/spreadsheets/d/1IYY_tgx_IHuhSq3AJ5eI5OnqOPBNLWSHKh2a30DoXe8/edit?usp=sharing"",""ภูเก็ต!I428"")"),13)</f>
        <v>13</v>
      </c>
      <c r="J533" s="416">
        <f ca="1">IFERROR(__xludf.DUMMYFUNCTION("IMPORTRANGE(""https://docs.google.com/spreadsheets/d/1IYY_tgx_IHuhSq3AJ5eI5OnqOPBNLWSHKh2a30DoXe8/edit?usp=sharing"",""ภูเก็ต!J428"")"),13)</f>
        <v>13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IFERROR(__xludf.DUMMYFUNCTION("IMPORTRANGE(""https://docs.google.com/spreadsheets/d/1IYY_tgx_IHuhSq3AJ5eI5OnqOPBNLWSHKh2a30DoXe8/edit?usp=sharing"",""ภูเก็ต!L428"")"),26700)</f>
        <v>26700</v>
      </c>
      <c r="M533" s="418"/>
      <c r="N533" s="418">
        <f ca="1">IFERROR(__xludf.DUMMYFUNCTION("IMPORTRANGE(""https://docs.google.com/spreadsheets/d/1IYY_tgx_IHuhSq3AJ5eI5OnqOPBNLWSHKh2a30DoXe8/edit?usp=sharing"",""ภูเก็ต!M428"")"),26090)</f>
        <v>26090</v>
      </c>
      <c r="O533" s="418">
        <f t="shared" ref="O533:O537" ca="1" si="118">+IF(L533&gt;0,N533*100/L533,0)</f>
        <v>97.715355805243448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IFERROR(__xludf.DUMMYFUNCTION("IMPORTRANGE(""https://docs.google.com/spreadsheets/d/1IYY_tgx_IHuhSq3AJ5eI5OnqOPBNLWSHKh2a30DoXe8/edit?usp=sharing"",""ภูเก็ต!L429"")"),0)</f>
        <v>0</v>
      </c>
      <c r="M534" s="168"/>
      <c r="N534" s="175">
        <f ca="1">IFERROR(__xludf.DUMMYFUNCTION("IMPORTRANGE(""https://docs.google.com/spreadsheets/d/1IYY_tgx_IHuhSq3AJ5eI5OnqOPBNLWSHKh2a30DoXe8/edit?usp=sharing"",""ภูเก็ต!M429"")"),0)</f>
        <v>0</v>
      </c>
      <c r="O534" s="175">
        <f t="shared" ca="1" si="118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IFERROR(__xludf.DUMMYFUNCTION("IMPORTRANGE(""https://docs.google.com/spreadsheets/d/1IYY_tgx_IHuhSq3AJ5eI5OnqOPBNLWSHKh2a30DoXe8/edit?usp=sharing"",""ภูเก็ต!L430"")"),26700)</f>
        <v>26700</v>
      </c>
      <c r="M535" s="169"/>
      <c r="N535" s="175">
        <f ca="1">IFERROR(__xludf.DUMMYFUNCTION("IMPORTRANGE(""https://docs.google.com/spreadsheets/d/1IYY_tgx_IHuhSq3AJ5eI5OnqOPBNLWSHKh2a30DoXe8/edit?usp=sharing"",""ภูเก็ต!M430"")"),26090)</f>
        <v>26090</v>
      </c>
      <c r="O535" s="175">
        <f t="shared" ca="1" si="118"/>
        <v>97.715355805243448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IFERROR(__xludf.DUMMYFUNCTION("IMPORTRANGE(""https://docs.google.com/spreadsheets/d/1IYY_tgx_IHuhSq3AJ5eI5OnqOPBNLWSHKh2a30DoXe8/edit?usp=sharing"",""ภูเก็ต!L431"")"),0)</f>
        <v>0</v>
      </c>
      <c r="M536" s="175"/>
      <c r="N536" s="175">
        <f ca="1">IFERROR(__xludf.DUMMYFUNCTION("IMPORTRANGE(""https://docs.google.com/spreadsheets/d/1IYY_tgx_IHuhSq3AJ5eI5OnqOPBNLWSHKh2a30DoXe8/edit?usp=sharing"",""ภูเก็ต!M431"")"),0)</f>
        <v>0</v>
      </c>
      <c r="O536" s="175">
        <f t="shared" ca="1" si="118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IFERROR(__xludf.DUMMYFUNCTION("IMPORTRANGE(""https://docs.google.com/spreadsheets/d/1IYY_tgx_IHuhSq3AJ5eI5OnqOPBNLWSHKh2a30DoXe8/edit?usp=sharing"",""ภูเก็ต!L432"")"),26700)</f>
        <v>26700</v>
      </c>
      <c r="M537" s="175"/>
      <c r="N537" s="175">
        <f ca="1">IFERROR(__xludf.DUMMYFUNCTION("IMPORTRANGE(""https://docs.google.com/spreadsheets/d/1IYY_tgx_IHuhSq3AJ5eI5OnqOPBNLWSHKh2a30DoXe8/edit?usp=sharing"",""ภูเก็ต!M432"")"),26090)</f>
        <v>26090</v>
      </c>
      <c r="O537" s="175">
        <f t="shared" ca="1" si="118"/>
        <v>97.715355805243448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IFERROR(__xludf.DUMMYFUNCTION("IMPORTRANGE(""https://docs.google.com/spreadsheets/d/1IYY_tgx_IHuhSq3AJ5eI5OnqOPBNLWSHKh2a30DoXe8/edit?usp=sharing"",""ภูเก็ต!M433"")"),11100)</f>
        <v>11100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IFERROR(__xludf.DUMMYFUNCTION("IMPORTRANGE(""https://docs.google.com/spreadsheets/d/1IYY_tgx_IHuhSq3AJ5eI5OnqOPBNLWSHKh2a30DoXe8/edit?usp=sharing"",""ภูเก็ต!M434"")"),0)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IFERROR(__xludf.DUMMYFUNCTION("IMPORTRANGE(""https://docs.google.com/spreadsheets/d/1IYY_tgx_IHuhSq3AJ5eI5OnqOPBNLWSHKh2a30DoXe8/edit?usp=sharing"",""ภูเก็ต!M435"")"),0)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IFERROR(__xludf.DUMMYFUNCTION("IMPORTRANGE(""https://docs.google.com/spreadsheets/d/1IYY_tgx_IHuhSq3AJ5eI5OnqOPBNLWSHKh2a30DoXe8/edit?usp=sharing"",""ภูเก็ต!M436"")"),14990)</f>
        <v>14990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IFERROR(__xludf.DUMMYFUNCTION("IMPORTRANGE(""https://docs.google.com/spreadsheets/d/1IYY_tgx_IHuhSq3AJ5eI5OnqOPBNLWSHKh2a30DoXe8/edit?usp=sharing"",""ภูเก็ต!J438"")"),0)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IFERROR(__xludf.DUMMYFUNCTION("IMPORTRANGE(""https://docs.google.com/spreadsheets/d/1IYY_tgx_IHuhSq3AJ5eI5OnqOPBNLWSHKh2a30DoXe8/edit?usp=sharing"",""ภูเก็ต!J439"")"),1)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IFERROR(__xludf.DUMMYFUNCTION("IMPORTRANGE(""https://docs.google.com/spreadsheets/d/1IYY_tgx_IHuhSq3AJ5eI5OnqOPBNLWSHKh2a30DoXe8/edit?usp=sharing"",""ภูเก็ต!J440"")"),1)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IFERROR(__xludf.DUMMYFUNCTION("IMPORTRANGE(""https://docs.google.com/spreadsheets/d/1IYY_tgx_IHuhSq3AJ5eI5OnqOPBNLWSHKh2a30DoXe8/edit?usp=sharing"",""ภูเก็ต!J441"")"),1)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IFERROR(__xludf.DUMMYFUNCTION("IMPORTRANGE(""https://docs.google.com/spreadsheets/d/1IYY_tgx_IHuhSq3AJ5eI5OnqOPBNLWSHKh2a30DoXe8/edit?usp=sharing"",""ภูเก็ต!I442"")"),13)</f>
        <v>13</v>
      </c>
      <c r="J547" s="195">
        <f ca="1">IFERROR(__xludf.DUMMYFUNCTION("IMPORTRANGE(""https://docs.google.com/spreadsheets/d/1IYY_tgx_IHuhSq3AJ5eI5OnqOPBNLWSHKh2a30DoXe8/edit?usp=sharing"",""ภูเก็ต!J442"")"),13)</f>
        <v>13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IFERROR(__xludf.DUMMYFUNCTION("IMPORTRANGE(""https://docs.google.com/spreadsheets/d/1IYY_tgx_IHuhSq3AJ5eI5OnqOPBNLWSHKh2a30DoXe8/edit?usp=sharing"",""ภูเก็ต!J166"")"),0)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IFERROR(__xludf.DUMMYFUNCTION("IMPORTRANGE(""https://docs.google.com/spreadsheets/d/1IYY_tgx_IHuhSq3AJ5eI5OnqOPBNLWSHKh2a30DoXe8/edit?usp=sharing"",""ภูเก็ต!J444"")"),0)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IFERROR(__xludf.DUMMYFUNCTION("IMPORTRANGE(""https://docs.google.com/spreadsheets/d/1IYY_tgx_IHuhSq3AJ5eI5OnqOPBNLWSHKh2a30DoXe8/edit?usp=sharing"",""ภูเก็ต!J445"")"),0)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IFERROR(__xludf.DUMMYFUNCTION("IMPORTRANGE(""https://docs.google.com/spreadsheets/d/1IYY_tgx_IHuhSq3AJ5eI5OnqOPBNLWSHKh2a30DoXe8/edit?usp=sharing"",""ภูเก็ต!I446"")"),0)</f>
        <v>0</v>
      </c>
      <c r="J551" s="416">
        <f ca="1">IFERROR(__xludf.DUMMYFUNCTION("IMPORTRANGE(""https://docs.google.com/spreadsheets/d/1IYY_tgx_IHuhSq3AJ5eI5OnqOPBNLWSHKh2a30DoXe8/edit?usp=sharing"",""ภูเก็ต!J446"")"),0)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IFERROR(__xludf.DUMMYFUNCTION("IMPORTRANGE(""https://docs.google.com/spreadsheets/d/1IYY_tgx_IHuhSq3AJ5eI5OnqOPBNLWSHKh2a30DoXe8/edit?usp=sharing"",""ภูเก็ต!L446"")"),0)</f>
        <v>0</v>
      </c>
      <c r="M551" s="418"/>
      <c r="N551" s="418">
        <f ca="1">IFERROR(__xludf.DUMMYFUNCTION("IMPORTRANGE(""https://docs.google.com/spreadsheets/d/1IYY_tgx_IHuhSq3AJ5eI5OnqOPBNLWSHKh2a30DoXe8/edit?usp=sharing"",""ภูเก็ต!M446"")"),0)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IFERROR(__xludf.DUMMYFUNCTION("IMPORTRANGE(""https://docs.google.com/spreadsheets/d/1IYY_tgx_IHuhSq3AJ5eI5OnqOPBNLWSHKh2a30DoXe8/edit?usp=sharing"",""ภูเก็ต!L447"")"),0)</f>
        <v>0</v>
      </c>
      <c r="M552" s="168"/>
      <c r="N552" s="175">
        <f ca="1">IFERROR(__xludf.DUMMYFUNCTION("IMPORTRANGE(""https://docs.google.com/spreadsheets/d/1IYY_tgx_IHuhSq3AJ5eI5OnqOPBNLWSHKh2a30DoXe8/edit?usp=sharing"",""ภูเก็ต!M447"")"),0)</f>
        <v>0</v>
      </c>
      <c r="O552" s="175">
        <f t="shared" ca="1" si="120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IFERROR(__xludf.DUMMYFUNCTION("IMPORTRANGE(""https://docs.google.com/spreadsheets/d/1IYY_tgx_IHuhSq3AJ5eI5OnqOPBNLWSHKh2a30DoXe8/edit?usp=sharing"",""ภูเก็ต!L448"")"),0)</f>
        <v>0</v>
      </c>
      <c r="M553" s="169"/>
      <c r="N553" s="175">
        <f ca="1">IFERROR(__xludf.DUMMYFUNCTION("IMPORTRANGE(""https://docs.google.com/spreadsheets/d/1IYY_tgx_IHuhSq3AJ5eI5OnqOPBNLWSHKh2a30DoXe8/edit?usp=sharing"",""ภูเก็ต!M448"")"),0)</f>
        <v>0</v>
      </c>
      <c r="O553" s="175">
        <f t="shared" ca="1" si="120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IFERROR(__xludf.DUMMYFUNCTION("IMPORTRANGE(""https://docs.google.com/spreadsheets/d/1IYY_tgx_IHuhSq3AJ5eI5OnqOPBNLWSHKh2a30DoXe8/edit?usp=sharing"",""ภูเก็ต!L449"")"),0)</f>
        <v>0</v>
      </c>
      <c r="M554" s="175"/>
      <c r="N554" s="175">
        <f ca="1">IFERROR(__xludf.DUMMYFUNCTION("IMPORTRANGE(""https://docs.google.com/spreadsheets/d/1IYY_tgx_IHuhSq3AJ5eI5OnqOPBNLWSHKh2a30DoXe8/edit?usp=sharing"",""ภูเก็ต!M449"")"),0)</f>
        <v>0</v>
      </c>
      <c r="O554" s="175">
        <f t="shared" ca="1" si="120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IFERROR(__xludf.DUMMYFUNCTION("IMPORTRANGE(""https://docs.google.com/spreadsheets/d/1IYY_tgx_IHuhSq3AJ5eI5OnqOPBNLWSHKh2a30DoXe8/edit?usp=sharing"",""ภูเก็ต!L450"")"),0)</f>
        <v>0</v>
      </c>
      <c r="M555" s="175"/>
      <c r="N555" s="175">
        <f ca="1">IFERROR(__xludf.DUMMYFUNCTION("IMPORTRANGE(""https://docs.google.com/spreadsheets/d/1IYY_tgx_IHuhSq3AJ5eI5OnqOPBNLWSHKh2a30DoXe8/edit?usp=sharing"",""ภูเก็ต!M450"")"),0)</f>
        <v>0</v>
      </c>
      <c r="O555" s="175">
        <f t="shared" ca="1" si="120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IFERROR(__xludf.DUMMYFUNCTION("IMPORTRANGE(""https://docs.google.com/spreadsheets/d/1IYY_tgx_IHuhSq3AJ5eI5OnqOPBNLWSHKh2a30DoXe8/edit?usp=sharing"",""ภูเก็ต!M451"")"),0)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IFERROR(__xludf.DUMMYFUNCTION("IMPORTRANGE(""https://docs.google.com/spreadsheets/d/1IYY_tgx_IHuhSq3AJ5eI5OnqOPBNLWSHKh2a30DoXe8/edit?usp=sharing"",""ภูเก็ต!M452"")"),0)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IFERROR(__xludf.DUMMYFUNCTION("IMPORTRANGE(""https://docs.google.com/spreadsheets/d/1IYY_tgx_IHuhSq3AJ5eI5OnqOPBNLWSHKh2a30DoXe8/edit?usp=sharing"",""ภูเก็ต!M453"")"),0)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IFERROR(__xludf.DUMMYFUNCTION("IMPORTRANGE(""https://docs.google.com/spreadsheets/d/1IYY_tgx_IHuhSq3AJ5eI5OnqOPBNLWSHKh2a30DoXe8/edit?usp=sharing"",""ภูเก็ต!M454"")"),0)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IFERROR(__xludf.DUMMYFUNCTION("IMPORTRANGE(""https://docs.google.com/spreadsheets/d/1IYY_tgx_IHuhSq3AJ5eI5OnqOPBNLWSHKh2a30DoXe8/edit?usp=sharing"",""ภูเก็ต!I455"")"),0)</f>
        <v>0</v>
      </c>
      <c r="J560" s="166">
        <f ca="1">IFERROR(__xludf.DUMMYFUNCTION("IMPORTRANGE(""https://docs.google.com/spreadsheets/d/1IYY_tgx_IHuhSq3AJ5eI5OnqOPBNLWSHKh2a30DoXe8/edit?usp=sharing"",""ภูเก็ต!J455"")"),0)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IFERROR(__xludf.DUMMYFUNCTION("IMPORTRANGE(""https://docs.google.com/spreadsheets/d/1IYY_tgx_IHuhSq3AJ5eI5OnqOPBNLWSHKh2a30DoXe8/edit?usp=sharing"",""ภูเก็ต!I456"")"),0)</f>
        <v>0</v>
      </c>
      <c r="J561" s="210">
        <f ca="1">IFERROR(__xludf.DUMMYFUNCTION("IMPORTRANGE(""https://docs.google.com/spreadsheets/d/1IYY_tgx_IHuhSq3AJ5eI5OnqOPBNLWSHKh2a30DoXe8/edit?usp=sharing"",""ภูเก็ต!J456"")"),0)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IFERROR(__xludf.DUMMYFUNCTION("IMPORTRANGE(""https://docs.google.com/spreadsheets/d/1IYY_tgx_IHuhSq3AJ5eI5OnqOPBNLWSHKh2a30DoXe8/edit?usp=sharing"",""ภูเก็ต!I459"")"),50)</f>
        <v>50</v>
      </c>
      <c r="J564" s="377">
        <f ca="1">IFERROR(__xludf.DUMMYFUNCTION("IMPORTRANGE(""https://docs.google.com/spreadsheets/d/1IYY_tgx_IHuhSq3AJ5eI5OnqOPBNLWSHKh2a30DoXe8/edit?usp=sharing"",""ภูเก็ต!J459"")"),204)</f>
        <v>204</v>
      </c>
      <c r="K564" s="378">
        <f ca="1">IF(I564&gt;0,J564*100/I564,0)</f>
        <v>408</v>
      </c>
      <c r="L564" s="379">
        <f ca="1">IFERROR(__xludf.DUMMYFUNCTION("IMPORTRANGE(""https://docs.google.com/spreadsheets/d/1IYY_tgx_IHuhSq3AJ5eI5OnqOPBNLWSHKh2a30DoXe8/edit?usp=sharing"",""ภูเก็ต!L459"")"),119920)</f>
        <v>119920</v>
      </c>
      <c r="M564" s="379"/>
      <c r="N564" s="379">
        <f ca="1">IFERROR(__xludf.DUMMYFUNCTION("IMPORTRANGE(""https://docs.google.com/spreadsheets/d/1IYY_tgx_IHuhSq3AJ5eI5OnqOPBNLWSHKh2a30DoXe8/edit?usp=sharing"",""ภูเก็ต!M459"")"),96400)</f>
        <v>96400</v>
      </c>
      <c r="O564" s="379">
        <f t="shared" ref="O564:O568" ca="1" si="122">+IF(L564&gt;0,N564*100/L564,0)</f>
        <v>80.386924616410937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IFERROR(__xludf.DUMMYFUNCTION("IMPORTRANGE(""https://docs.google.com/spreadsheets/d/1IYY_tgx_IHuhSq3AJ5eI5OnqOPBNLWSHKh2a30DoXe8/edit?usp=sharing"",""ภูเก็ต!L460"")"),0)</f>
        <v>0</v>
      </c>
      <c r="M565" s="168"/>
      <c r="N565" s="175">
        <f ca="1">IFERROR(__xludf.DUMMYFUNCTION("IMPORTRANGE(""https://docs.google.com/spreadsheets/d/1IYY_tgx_IHuhSq3AJ5eI5OnqOPBNLWSHKh2a30DoXe8/edit?usp=sharing"",""ภูเก็ต!M460"")"),0)</f>
        <v>0</v>
      </c>
      <c r="O565" s="175">
        <f t="shared" ca="1" si="122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IFERROR(__xludf.DUMMYFUNCTION("IMPORTRANGE(""https://docs.google.com/spreadsheets/d/1IYY_tgx_IHuhSq3AJ5eI5OnqOPBNLWSHKh2a30DoXe8/edit?usp=sharing"",""ภูเก็ต!L461"")"),119920)</f>
        <v>119920</v>
      </c>
      <c r="M566" s="169"/>
      <c r="N566" s="175">
        <f ca="1">IFERROR(__xludf.DUMMYFUNCTION("IMPORTRANGE(""https://docs.google.com/spreadsheets/d/1IYY_tgx_IHuhSq3AJ5eI5OnqOPBNLWSHKh2a30DoXe8/edit?usp=sharing"",""ภูเก็ต!M461"")"),96400)</f>
        <v>96400</v>
      </c>
      <c r="O566" s="175">
        <f t="shared" ca="1" si="122"/>
        <v>80.386924616410937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IFERROR(__xludf.DUMMYFUNCTION("IMPORTRANGE(""https://docs.google.com/spreadsheets/d/1IYY_tgx_IHuhSq3AJ5eI5OnqOPBNLWSHKh2a30DoXe8/edit?usp=sharing"",""ภูเก็ต!L462"")"),0)</f>
        <v>0</v>
      </c>
      <c r="M567" s="175"/>
      <c r="N567" s="175">
        <f ca="1">IFERROR(__xludf.DUMMYFUNCTION("IMPORTRANGE(""https://docs.google.com/spreadsheets/d/1IYY_tgx_IHuhSq3AJ5eI5OnqOPBNLWSHKh2a30DoXe8/edit?usp=sharing"",""ภูเก็ต!M462"")"),0)</f>
        <v>0</v>
      </c>
      <c r="O567" s="175">
        <f t="shared" ca="1" si="122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IFERROR(__xludf.DUMMYFUNCTION("IMPORTRANGE(""https://docs.google.com/spreadsheets/d/1IYY_tgx_IHuhSq3AJ5eI5OnqOPBNLWSHKh2a30DoXe8/edit?usp=sharing"",""ภูเก็ต!L463"")"),119920)</f>
        <v>119920</v>
      </c>
      <c r="M568" s="175"/>
      <c r="N568" s="175">
        <f ca="1">IFERROR(__xludf.DUMMYFUNCTION("IMPORTRANGE(""https://docs.google.com/spreadsheets/d/1IYY_tgx_IHuhSq3AJ5eI5OnqOPBNLWSHKh2a30DoXe8/edit?usp=sharing"",""ภูเก็ต!M463"")"),96400)</f>
        <v>96400</v>
      </c>
      <c r="O568" s="175">
        <f t="shared" ca="1" si="122"/>
        <v>80.386924616410937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IFERROR(__xludf.DUMMYFUNCTION("IMPORTRANGE(""https://docs.google.com/spreadsheets/d/1IYY_tgx_IHuhSq3AJ5eI5OnqOPBNLWSHKh2a30DoXe8/edit?usp=sharing"",""ภูเก็ต!M464"")"),0)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IFERROR(__xludf.DUMMYFUNCTION("IMPORTRANGE(""https://docs.google.com/spreadsheets/d/1IYY_tgx_IHuhSq3AJ5eI5OnqOPBNLWSHKh2a30DoXe8/edit?usp=sharing"",""ภูเก็ต!M465"")"),0)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IFERROR(__xludf.DUMMYFUNCTION("IMPORTRANGE(""https://docs.google.com/spreadsheets/d/1IYY_tgx_IHuhSq3AJ5eI5OnqOPBNLWSHKh2a30DoXe8/edit?usp=sharing"",""ภูเก็ต!M466"")"),95700)</f>
        <v>95700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IFERROR(__xludf.DUMMYFUNCTION("IMPORTRANGE(""https://docs.google.com/spreadsheets/d/1IYY_tgx_IHuhSq3AJ5eI5OnqOPBNLWSHKh2a30DoXe8/edit?usp=sharing"",""ภูเก็ต!M467"")"),700)</f>
        <v>700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IFERROR(__xludf.DUMMYFUNCTION("IMPORTRANGE(""https://docs.google.com/spreadsheets/d/1IYY_tgx_IHuhSq3AJ5eI5OnqOPBNLWSHKh2a30DoXe8/edit?usp=sharing"",""ภูเก็ต!I468"")"),50)</f>
        <v>50</v>
      </c>
      <c r="J573" s="426">
        <f ca="1">IFERROR(__xludf.DUMMYFUNCTION("IMPORTRANGE(""https://docs.google.com/spreadsheets/d/1IYY_tgx_IHuhSq3AJ5eI5OnqOPBNLWSHKh2a30DoXe8/edit?usp=sharing"",""ภูเก็ต!J468"")"),204)</f>
        <v>204</v>
      </c>
      <c r="K573" s="208">
        <f ca="1">IF(I573&gt;0,J573*100/I573,0)</f>
        <v>408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IFERROR(__xludf.DUMMYFUNCTION("IMPORTRANGE(""https://docs.google.com/spreadsheets/d/1IYY_tgx_IHuhSq3AJ5eI5OnqOPBNLWSHKh2a30DoXe8/edit?usp=sharing"",""ภูเก็ต!I470"")"),0)</f>
        <v>0</v>
      </c>
      <c r="J575" s="204">
        <f ca="1">IFERROR(__xludf.DUMMYFUNCTION("IMPORTRANGE(""https://docs.google.com/spreadsheets/d/1IYY_tgx_IHuhSq3AJ5eI5OnqOPBNLWSHKh2a30DoXe8/edit?usp=sharing"",""ภูเก็ต!J470"")"),3)</f>
        <v>3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IFERROR(__xludf.DUMMYFUNCTION("IMPORTRANGE(""https://docs.google.com/spreadsheets/d/1IYY_tgx_IHuhSq3AJ5eI5OnqOPBNLWSHKh2a30DoXe8/edit?usp=sharing"",""ภูเก็ต!I471"")"),0)</f>
        <v>0</v>
      </c>
      <c r="J576" s="204">
        <f ca="1">IFERROR(__xludf.DUMMYFUNCTION("IMPORTRANGE(""https://docs.google.com/spreadsheets/d/1IYY_tgx_IHuhSq3AJ5eI5OnqOPBNLWSHKh2a30DoXe8/edit?usp=sharing"",""ภูเก็ต!J471"")"),19)</f>
        <v>19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IFERROR(__xludf.DUMMYFUNCTION("IMPORTRANGE(""https://docs.google.com/spreadsheets/d/1IYY_tgx_IHuhSq3AJ5eI5OnqOPBNLWSHKh2a30DoXe8/edit?usp=sharing"",""ภูเก็ต!I472"")"),0)</f>
        <v>0</v>
      </c>
      <c r="J577" s="195">
        <f ca="1">IFERROR(__xludf.DUMMYFUNCTION("IMPORTRANGE(""https://docs.google.com/spreadsheets/d/1IYY_tgx_IHuhSq3AJ5eI5OnqOPBNLWSHKh2a30DoXe8/edit?usp=sharing"",""ภูเก็ต!J472"")"),185)</f>
        <v>185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IFERROR(__xludf.DUMMYFUNCTION("IMPORTRANGE(""https://docs.google.com/spreadsheets/d/1IYY_tgx_IHuhSq3AJ5eI5OnqOPBNLWSHKh2a30DoXe8/edit?usp=sharing"",""ภูเก็ต!I473"")"),0)</f>
        <v>0</v>
      </c>
      <c r="J578" s="204">
        <f ca="1">IFERROR(__xludf.DUMMYFUNCTION("IMPORTRANGE(""https://docs.google.com/spreadsheets/d/1IYY_tgx_IHuhSq3AJ5eI5OnqOPBNLWSHKh2a30DoXe8/edit?usp=sharing"",""ภูเก็ต!J473"")"),0)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IFERROR(__xludf.DUMMYFUNCTION("IMPORTRANGE(""https://docs.google.com/spreadsheets/d/1IYY_tgx_IHuhSq3AJ5eI5OnqOPBNLWSHKh2a30DoXe8/edit?usp=sharing"",""ภูเก็ต!I474"")"),0)</f>
        <v>0</v>
      </c>
      <c r="J579" s="204">
        <f ca="1">IFERROR(__xludf.DUMMYFUNCTION("IMPORTRANGE(""https://docs.google.com/spreadsheets/d/1IYY_tgx_IHuhSq3AJ5eI5OnqOPBNLWSHKh2a30DoXe8/edit?usp=sharing"",""ภูเก็ต!J474"")"),0)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IFERROR(__xludf.DUMMYFUNCTION("IMPORTRANGE(""https://docs.google.com/spreadsheets/d/1IYY_tgx_IHuhSq3AJ5eI5OnqOPBNLWSHKh2a30DoXe8/edit?usp=sharing"",""ภูเก็ต!I475"")"),0)</f>
        <v>0</v>
      </c>
      <c r="J580" s="377">
        <f ca="1">IFERROR(__xludf.DUMMYFUNCTION("IMPORTRANGE(""https://docs.google.com/spreadsheets/d/1IYY_tgx_IHuhSq3AJ5eI5OnqOPBNLWSHKh2a30DoXe8/edit?usp=sharing"",""ภูเก็ต!J475"")"),0)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IFERROR(__xludf.DUMMYFUNCTION("IMPORTRANGE(""https://docs.google.com/spreadsheets/d/1IYY_tgx_IHuhSq3AJ5eI5OnqOPBNLWSHKh2a30DoXe8/edit?usp=sharing"",""ภูเก็ต!L475"")"),0)</f>
        <v>0</v>
      </c>
      <c r="M580" s="379"/>
      <c r="N580" s="379">
        <f ca="1">IFERROR(__xludf.DUMMYFUNCTION("IMPORTRANGE(""https://docs.google.com/spreadsheets/d/1IYY_tgx_IHuhSq3AJ5eI5OnqOPBNLWSHKh2a30DoXe8/edit?usp=sharing"",""ภูเก็ต!M475"")"),0)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IFERROR(__xludf.DUMMYFUNCTION("IMPORTRANGE(""https://docs.google.com/spreadsheets/d/1IYY_tgx_IHuhSq3AJ5eI5OnqOPBNLWSHKh2a30DoXe8/edit?usp=sharing"",""ภูเก็ต!L476"")"),0)</f>
        <v>0</v>
      </c>
      <c r="M581" s="168"/>
      <c r="N581" s="175">
        <f ca="1">IFERROR(__xludf.DUMMYFUNCTION("IMPORTRANGE(""https://docs.google.com/spreadsheets/d/1IYY_tgx_IHuhSq3AJ5eI5OnqOPBNLWSHKh2a30DoXe8/edit?usp=sharing"",""ภูเก็ต!M476"")"),0)</f>
        <v>0</v>
      </c>
      <c r="O581" s="175">
        <f t="shared" ca="1" si="124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IFERROR(__xludf.DUMMYFUNCTION("IMPORTRANGE(""https://docs.google.com/spreadsheets/d/1IYY_tgx_IHuhSq3AJ5eI5OnqOPBNLWSHKh2a30DoXe8/edit?usp=sharing"",""ภูเก็ต!L477"")"),0)</f>
        <v>0</v>
      </c>
      <c r="M582" s="169"/>
      <c r="N582" s="175">
        <f ca="1">IFERROR(__xludf.DUMMYFUNCTION("IMPORTRANGE(""https://docs.google.com/spreadsheets/d/1IYY_tgx_IHuhSq3AJ5eI5OnqOPBNLWSHKh2a30DoXe8/edit?usp=sharing"",""ภูเก็ต!M477"")"),0)</f>
        <v>0</v>
      </c>
      <c r="O582" s="175">
        <f t="shared" ca="1" si="124"/>
        <v>0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IFERROR(__xludf.DUMMYFUNCTION("IMPORTRANGE(""https://docs.google.com/spreadsheets/d/1IYY_tgx_IHuhSq3AJ5eI5OnqOPBNLWSHKh2a30DoXe8/edit?usp=sharing"",""ภูเก็ต!L478"")"),0)</f>
        <v>0</v>
      </c>
      <c r="M583" s="175"/>
      <c r="N583" s="175">
        <f ca="1">IFERROR(__xludf.DUMMYFUNCTION("IMPORTRANGE(""https://docs.google.com/spreadsheets/d/1IYY_tgx_IHuhSq3AJ5eI5OnqOPBNLWSHKh2a30DoXe8/edit?usp=sharing"",""ภูเก็ต!M478"")"),0)</f>
        <v>0</v>
      </c>
      <c r="O583" s="175">
        <f t="shared" ca="1" si="124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IFERROR(__xludf.DUMMYFUNCTION("IMPORTRANGE(""https://docs.google.com/spreadsheets/d/1IYY_tgx_IHuhSq3AJ5eI5OnqOPBNLWSHKh2a30DoXe8/edit?usp=sharing"",""ภูเก็ต!L479"")"),0)</f>
        <v>0</v>
      </c>
      <c r="M584" s="175"/>
      <c r="N584" s="175">
        <f ca="1">IFERROR(__xludf.DUMMYFUNCTION("IMPORTRANGE(""https://docs.google.com/spreadsheets/d/1IYY_tgx_IHuhSq3AJ5eI5OnqOPBNLWSHKh2a30DoXe8/edit?usp=sharing"",""ภูเก็ต!M479"")"),0)</f>
        <v>0</v>
      </c>
      <c r="O584" s="175">
        <f t="shared" ca="1" si="124"/>
        <v>0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IFERROR(__xludf.DUMMYFUNCTION("IMPORTRANGE(""https://docs.google.com/spreadsheets/d/1IYY_tgx_IHuhSq3AJ5eI5OnqOPBNLWSHKh2a30DoXe8/edit?usp=sharing"",""ภูเก็ต!M480"")"),0)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IFERROR(__xludf.DUMMYFUNCTION("IMPORTRANGE(""https://docs.google.com/spreadsheets/d/1IYY_tgx_IHuhSq3AJ5eI5OnqOPBNLWSHKh2a30DoXe8/edit?usp=sharing"",""ภูเก็ต!M481"")"),0)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IFERROR(__xludf.DUMMYFUNCTION("IMPORTRANGE(""https://docs.google.com/spreadsheets/d/1IYY_tgx_IHuhSq3AJ5eI5OnqOPBNLWSHKh2a30DoXe8/edit?usp=sharing"",""ภูเก็ต!M482"")"),0)</f>
        <v>0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IFERROR(__xludf.DUMMYFUNCTION("IMPORTRANGE(""https://docs.google.com/spreadsheets/d/1IYY_tgx_IHuhSq3AJ5eI5OnqOPBNLWSHKh2a30DoXe8/edit?usp=sharing"",""ภูเก็ต!M483"")"),0)</f>
        <v>0</v>
      </c>
      <c r="O588" s="175"/>
      <c r="P588" s="175"/>
    </row>
    <row r="589" spans="1:16" ht="21.75" customHeight="1" x14ac:dyDescent="0.2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IFERROR(__xludf.DUMMYFUNCTION("IMPORTRANGE(""https://docs.google.com/spreadsheets/d/1IYY_tgx_IHuhSq3AJ5eI5OnqOPBNLWSHKh2a30DoXe8/edit?usp=sharing"",""ภูเก็ต!I484"")"),0)</f>
        <v>0</v>
      </c>
      <c r="J589" s="194">
        <f ca="1">IFERROR(__xludf.DUMMYFUNCTION("IMPORTRANGE(""https://docs.google.com/spreadsheets/d/1IYY_tgx_IHuhSq3AJ5eI5OnqOPBNLWSHKh2a30DoXe8/edit?usp=sharing"",""ภูเก็ต!J484"")"),0)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2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IFERROR(__xludf.DUMMYFUNCTION("IMPORTRANGE(""https://docs.google.com/spreadsheets/d/1IYY_tgx_IHuhSq3AJ5eI5OnqOPBNLWSHKh2a30DoXe8/edit?usp=sharing"",""ภูเก็ต!I485"")"),0)</f>
        <v>0</v>
      </c>
      <c r="J590" s="194">
        <f ca="1">IFERROR(__xludf.DUMMYFUNCTION("IMPORTRANGE(""https://docs.google.com/spreadsheets/d/1IYY_tgx_IHuhSq3AJ5eI5OnqOPBNLWSHKh2a30DoXe8/edit?usp=sharing"",""ภูเก็ต!J485"")"),0)</f>
        <v>0</v>
      </c>
      <c r="K590" s="486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IFERROR(__xludf.DUMMYFUNCTION("IMPORTRANGE(""https://docs.google.com/spreadsheets/d/1IYY_tgx_IHuhSq3AJ5eI5OnqOPBNLWSHKh2a30DoXe8/edit?usp=sharing"",""ภูเก็ต!I486"")"),0)</f>
        <v>0</v>
      </c>
      <c r="J591" s="194">
        <f ca="1">IFERROR(__xludf.DUMMYFUNCTION("IMPORTRANGE(""https://docs.google.com/spreadsheets/d/1IYY_tgx_IHuhSq3AJ5eI5OnqOPBNLWSHKh2a30DoXe8/edit?usp=sharing"",""ภูเก็ต!J486"")"),0)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2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IFERROR(__xludf.DUMMYFUNCTION("IMPORTRANGE(""https://docs.google.com/spreadsheets/d/1IYY_tgx_IHuhSq3AJ5eI5OnqOPBNLWSHKh2a30DoXe8/edit?usp=sharing"",""ภูเก็ต!I487"")"),0)</f>
        <v>0</v>
      </c>
      <c r="J592" s="194">
        <f ca="1">IFERROR(__xludf.DUMMYFUNCTION("IMPORTRANGE(""https://docs.google.com/spreadsheets/d/1IYY_tgx_IHuhSq3AJ5eI5OnqOPBNLWSHKh2a30DoXe8/edit?usp=sharing"",""ภูเก็ต!J487"")"),0)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IFERROR(__xludf.DUMMYFUNCTION("IMPORTRANGE(""https://docs.google.com/spreadsheets/d/1IYY_tgx_IHuhSq3AJ5eI5OnqOPBNLWSHKh2a30DoXe8/edit?usp=sharing"",""ภูเก็ต!I488"")"),0)</f>
        <v>0</v>
      </c>
      <c r="J593" s="194">
        <f ca="1">IFERROR(__xludf.DUMMYFUNCTION("IMPORTRANGE(""https://docs.google.com/spreadsheets/d/1IYY_tgx_IHuhSq3AJ5eI5OnqOPBNLWSHKh2a30DoXe8/edit?usp=sharing"",""ภูเก็ต!J488"")"),0)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2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IFERROR(__xludf.DUMMYFUNCTION("IMPORTRANGE(""https://docs.google.com/spreadsheets/d/1IYY_tgx_IHuhSq3AJ5eI5OnqOPBNLWSHKh2a30DoXe8/edit?usp=sharing"",""ภูเก็ต!I489"")"),0)</f>
        <v>0</v>
      </c>
      <c r="J594" s="194">
        <f ca="1">IFERROR(__xludf.DUMMYFUNCTION("IMPORTRANGE(""https://docs.google.com/spreadsheets/d/1IYY_tgx_IHuhSq3AJ5eI5OnqOPBNLWSHKh2a30DoXe8/edit?usp=sharing"",""ภูเก็ต!J489"")"),0)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IFERROR(__xludf.DUMMYFUNCTION("IMPORTRANGE(""https://docs.google.com/spreadsheets/d/1IYY_tgx_IHuhSq3AJ5eI5OnqOPBNLWSHKh2a30DoXe8/edit?usp=sharing"",""ภูเก็ต!I490"")"),0)</f>
        <v>0</v>
      </c>
      <c r="J595" s="194">
        <f ca="1">IFERROR(__xludf.DUMMYFUNCTION("IMPORTRANGE(""https://docs.google.com/spreadsheets/d/1IYY_tgx_IHuhSq3AJ5eI5OnqOPBNLWSHKh2a30DoXe8/edit?usp=sharing"",""ภูเก็ต!J490"")"),0)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2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IFERROR(__xludf.DUMMYFUNCTION("IMPORTRANGE(""https://docs.google.com/spreadsheets/d/1IYY_tgx_IHuhSq3AJ5eI5OnqOPBNLWSHKh2a30DoXe8/edit?usp=sharing"",""ภูเก็ต!I491"")"),0)</f>
        <v>0</v>
      </c>
      <c r="J596" s="247">
        <f ca="1">IFERROR(__xludf.DUMMYFUNCTION("IMPORTRANGE(""https://docs.google.com/spreadsheets/d/1IYY_tgx_IHuhSq3AJ5eI5OnqOPBNLWSHKh2a30DoXe8/edit?usp=sharing"",""ภูเก็ต!J491"")"),0)</f>
        <v>0</v>
      </c>
      <c r="K596" s="493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IFERROR(__xludf.DUMMYFUNCTION("IMPORTRANGE(""https://docs.google.com/spreadsheets/d/1IYY_tgx_IHuhSq3AJ5eI5OnqOPBNLWSHKh2a30DoXe8/edit?usp=sharing"",""ภูเก็ต!I492"")"),100)</f>
        <v>100</v>
      </c>
      <c r="J597" s="494">
        <f ca="1">IFERROR(__xludf.DUMMYFUNCTION("IMPORTRANGE(""https://docs.google.com/spreadsheets/d/1IYY_tgx_IHuhSq3AJ5eI5OnqOPBNLWSHKh2a30DoXe8/edit?usp=sharing"",""ภูเก็ต!J492"")"),0)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IFERROR(__xludf.DUMMYFUNCTION("IMPORTRANGE(""https://docs.google.com/spreadsheets/d/1IYY_tgx_IHuhSq3AJ5eI5OnqOPBNLWSHKh2a30DoXe8/edit?usp=sharing"",""ภูเก็ต!L492"")"),1800)</f>
        <v>1800</v>
      </c>
      <c r="M597" s="418"/>
      <c r="N597" s="418">
        <f ca="1">IFERROR(__xludf.DUMMYFUNCTION("IMPORTRANGE(""https://docs.google.com/spreadsheets/d/1IYY_tgx_IHuhSq3AJ5eI5OnqOPBNLWSHKh2a30DoXe8/edit?usp=sharing"",""ภูเก็ต!M492"")"),1800)</f>
        <v>1800</v>
      </c>
      <c r="O597" s="418">
        <f t="shared" ref="O597:O601" ca="1" si="126">+IF(L597&gt;0,N597*100/L597,0)</f>
        <v>100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IFERROR(__xludf.DUMMYFUNCTION("IMPORTRANGE(""https://docs.google.com/spreadsheets/d/1IYY_tgx_IHuhSq3AJ5eI5OnqOPBNLWSHKh2a30DoXe8/edit?usp=sharing"",""ภูเก็ต!L493"")"),0)</f>
        <v>0</v>
      </c>
      <c r="M598" s="168"/>
      <c r="N598" s="175">
        <f ca="1">IFERROR(__xludf.DUMMYFUNCTION("IMPORTRANGE(""https://docs.google.com/spreadsheets/d/1IYY_tgx_IHuhSq3AJ5eI5OnqOPBNLWSHKh2a30DoXe8/edit?usp=sharing"",""ภูเก็ต!M493"")"),0)</f>
        <v>0</v>
      </c>
      <c r="O598" s="175">
        <f t="shared" ca="1" si="126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IFERROR(__xludf.DUMMYFUNCTION("IMPORTRANGE(""https://docs.google.com/spreadsheets/d/1IYY_tgx_IHuhSq3AJ5eI5OnqOPBNLWSHKh2a30DoXe8/edit?usp=sharing"",""ภูเก็ต!L494"")"),1800)</f>
        <v>1800</v>
      </c>
      <c r="M599" s="169"/>
      <c r="N599" s="175">
        <f ca="1">IFERROR(__xludf.DUMMYFUNCTION("IMPORTRANGE(""https://docs.google.com/spreadsheets/d/1IYY_tgx_IHuhSq3AJ5eI5OnqOPBNLWSHKh2a30DoXe8/edit?usp=sharing"",""ภูเก็ต!M494"")"),1800)</f>
        <v>1800</v>
      </c>
      <c r="O599" s="175">
        <f t="shared" ca="1" si="126"/>
        <v>100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IFERROR(__xludf.DUMMYFUNCTION("IMPORTRANGE(""https://docs.google.com/spreadsheets/d/1IYY_tgx_IHuhSq3AJ5eI5OnqOPBNLWSHKh2a30DoXe8/edit?usp=sharing"",""ภูเก็ต!L495"")"),0)</f>
        <v>0</v>
      </c>
      <c r="M600" s="175"/>
      <c r="N600" s="175">
        <f ca="1">IFERROR(__xludf.DUMMYFUNCTION("IMPORTRANGE(""https://docs.google.com/spreadsheets/d/1IYY_tgx_IHuhSq3AJ5eI5OnqOPBNLWSHKh2a30DoXe8/edit?usp=sharing"",""ภูเก็ต!M495"")"),0)</f>
        <v>0</v>
      </c>
      <c r="O600" s="175">
        <f t="shared" ca="1" si="126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IFERROR(__xludf.DUMMYFUNCTION("IMPORTRANGE(""https://docs.google.com/spreadsheets/d/1IYY_tgx_IHuhSq3AJ5eI5OnqOPBNLWSHKh2a30DoXe8/edit?usp=sharing"",""ภูเก็ต!L496"")"),1800)</f>
        <v>1800</v>
      </c>
      <c r="M601" s="175"/>
      <c r="N601" s="175">
        <f ca="1">IFERROR(__xludf.DUMMYFUNCTION("IMPORTRANGE(""https://docs.google.com/spreadsheets/d/1IYY_tgx_IHuhSq3AJ5eI5OnqOPBNLWSHKh2a30DoXe8/edit?usp=sharing"",""ภูเก็ต!M496"")"),1800)</f>
        <v>1800</v>
      </c>
      <c r="O601" s="175">
        <f t="shared" ca="1" si="126"/>
        <v>100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IFERROR(__xludf.DUMMYFUNCTION("IMPORTRANGE(""https://docs.google.com/spreadsheets/d/1IYY_tgx_IHuhSq3AJ5eI5OnqOPBNLWSHKh2a30DoXe8/edit?usp=sharing"",""ภูเก็ต!M497"")"),0)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IFERROR(__xludf.DUMMYFUNCTION("IMPORTRANGE(""https://docs.google.com/spreadsheets/d/1IYY_tgx_IHuhSq3AJ5eI5OnqOPBNLWSHKh2a30DoXe8/edit?usp=sharing"",""ภูเก็ต!M498"")"),0)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IFERROR(__xludf.DUMMYFUNCTION("IMPORTRANGE(""https://docs.google.com/spreadsheets/d/1IYY_tgx_IHuhSq3AJ5eI5OnqOPBNLWSHKh2a30DoXe8/edit?usp=sharing"",""ภูเก็ต!M499"")"),0)</f>
        <v>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IFERROR(__xludf.DUMMYFUNCTION("IMPORTRANGE(""https://docs.google.com/spreadsheets/d/1IYY_tgx_IHuhSq3AJ5eI5OnqOPBNLWSHKh2a30DoXe8/edit?usp=sharing"",""ภูเก็ต!M500"")"),1800)</f>
        <v>1800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IFERROR(__xludf.DUMMYFUNCTION("IMPORTRANGE(""https://docs.google.com/spreadsheets/d/1IYY_tgx_IHuhSq3AJ5eI5OnqOPBNLWSHKh2a30DoXe8/edit?usp=sharing"",""ภูเก็ต!J502"")"),0)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IFERROR(__xludf.DUMMYFUNCTION("IMPORTRANGE(""https://docs.google.com/spreadsheets/d/1IYY_tgx_IHuhSq3AJ5eI5OnqOPBNLWSHKh2a30DoXe8/edit?usp=sharing"",""ภูเก็ต!J503"")"),1)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IFERROR(__xludf.DUMMYFUNCTION("IMPORTRANGE(""https://docs.google.com/spreadsheets/d/1IYY_tgx_IHuhSq3AJ5eI5OnqOPBNLWSHKh2a30DoXe8/edit?usp=sharing"",""ภูเก็ต!J166"")"),0)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2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IFERROR(__xludf.DUMMYFUNCTION("IMPORTRANGE(""https://docs.google.com/spreadsheets/d/1IYY_tgx_IHuhSq3AJ5eI5OnqOPBNLWSHKh2a30DoXe8/edit?usp=sharing"",""ภูเก็ต!J166"")"),0)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IFERROR(__xludf.DUMMYFUNCTION("IMPORTRANGE(""https://docs.google.com/spreadsheets/d/1IYY_tgx_IHuhSq3AJ5eI5OnqOPBNLWSHKh2a30DoXe8/edit?usp=sharing"",""ภูเก็ต!I506"")"),100)</f>
        <v>100</v>
      </c>
      <c r="J611" s="166">
        <f ca="1">IFERROR(__xludf.DUMMYFUNCTION("IMPORTRANGE(""https://docs.google.com/spreadsheets/d/1IYY_tgx_IHuhSq3AJ5eI5OnqOPBNLWSHKh2a30DoXe8/edit?usp=sharing"",""ภูเก็ต!J506"")"),0)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IFERROR(__xludf.DUMMYFUNCTION("IMPORTRANGE(""https://docs.google.com/spreadsheets/d/1IYY_tgx_IHuhSq3AJ5eI5OnqOPBNLWSHKh2a30DoXe8/edit?usp=sharing"",""ภูเก็ต!I507"")"),0)</f>
        <v>0</v>
      </c>
      <c r="J612" s="204">
        <f ca="1">IFERROR(__xludf.DUMMYFUNCTION("IMPORTRANGE(""https://docs.google.com/spreadsheets/d/1IYY_tgx_IHuhSq3AJ5eI5OnqOPBNLWSHKh2a30DoXe8/edit?usp=sharing"",""ภูเก็ต!J507"")"),0)</f>
        <v>0</v>
      </c>
      <c r="K612" s="167">
        <f t="shared" ca="1" si="127"/>
        <v>0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IFERROR(__xludf.DUMMYFUNCTION("IMPORTRANGE(""https://docs.google.com/spreadsheets/d/1IYY_tgx_IHuhSq3AJ5eI5OnqOPBNLWSHKh2a30DoXe8/edit?usp=sharing"",""ภูเก็ต!I508"")"),0)</f>
        <v>0</v>
      </c>
      <c r="J613" s="204">
        <f ca="1">IFERROR(__xludf.DUMMYFUNCTION("IMPORTRANGE(""https://docs.google.com/spreadsheets/d/1IYY_tgx_IHuhSq3AJ5eI5OnqOPBNLWSHKh2a30DoXe8/edit?usp=sharing"",""ภูเก็ต!J508"")"),0)</f>
        <v>0</v>
      </c>
      <c r="K613" s="167">
        <f t="shared" ca="1" si="127"/>
        <v>0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IFERROR(__xludf.DUMMYFUNCTION("IMPORTRANGE(""https://docs.google.com/spreadsheets/d/1IYY_tgx_IHuhSq3AJ5eI5OnqOPBNLWSHKh2a30DoXe8/edit?usp=sharing"",""ภูเก็ต!I509"")"),0)</f>
        <v>0</v>
      </c>
      <c r="J614" s="204">
        <f ca="1">IFERROR(__xludf.DUMMYFUNCTION("IMPORTRANGE(""https://docs.google.com/spreadsheets/d/1IYY_tgx_IHuhSq3AJ5eI5OnqOPBNLWSHKh2a30DoXe8/edit?usp=sharing"",""ภูเก็ต!J509"")"),0)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IFERROR(__xludf.DUMMYFUNCTION("IMPORTRANGE(""https://docs.google.com/spreadsheets/d/1IYY_tgx_IHuhSq3AJ5eI5OnqOPBNLWSHKh2a30DoXe8/edit?usp=sharing"",""ภูเก็ต!I510"")"),0)</f>
        <v>0</v>
      </c>
      <c r="J615" s="204">
        <f ca="1">IFERROR(__xludf.DUMMYFUNCTION("IMPORTRANGE(""https://docs.google.com/spreadsheets/d/1IYY_tgx_IHuhSq3AJ5eI5OnqOPBNLWSHKh2a30DoXe8/edit?usp=sharing"",""ภูเก็ต!J510"")"),0)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IFERROR(__xludf.DUMMYFUNCTION("IMPORTRANGE(""https://docs.google.com/spreadsheets/d/1IYY_tgx_IHuhSq3AJ5eI5OnqOPBNLWSHKh2a30DoXe8/edit?usp=sharing"",""ภูเก็ต!I511"")"),0)</f>
        <v>0</v>
      </c>
      <c r="J616" s="204">
        <f ca="1">IFERROR(__xludf.DUMMYFUNCTION("IMPORTRANGE(""https://docs.google.com/spreadsheets/d/1IYY_tgx_IHuhSq3AJ5eI5OnqOPBNLWSHKh2a30DoXe8/edit?usp=sharing"",""ภูเก็ต!J511"")"),0)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IFERROR(__xludf.DUMMYFUNCTION("IMPORTRANGE(""https://docs.google.com/spreadsheets/d/1IYY_tgx_IHuhSq3AJ5eI5OnqOPBNLWSHKh2a30DoXe8/edit?usp=sharing"",""ภูเก็ต!I512"")"),0)</f>
        <v>0</v>
      </c>
      <c r="J617" s="194">
        <f ca="1">IFERROR(__xludf.DUMMYFUNCTION("IMPORTRANGE(""https://docs.google.com/spreadsheets/d/1IYY_tgx_IHuhSq3AJ5eI5OnqOPBNLWSHKh2a30DoXe8/edit?usp=sharing"",""ภูเก็ต!J512"")"),0)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IFERROR(__xludf.DUMMYFUNCTION("IMPORTRANGE(""https://docs.google.com/spreadsheets/d/1IYY_tgx_IHuhSq3AJ5eI5OnqOPBNLWSHKh2a30DoXe8/edit?usp=sharing"",""ภูเก็ต!I513"")"),0)</f>
        <v>0</v>
      </c>
      <c r="J618" s="195">
        <f ca="1">IFERROR(__xludf.DUMMYFUNCTION("IMPORTRANGE(""https://docs.google.com/spreadsheets/d/1IYY_tgx_IHuhSq3AJ5eI5OnqOPBNLWSHKh2a30DoXe8/edit?usp=sharing"",""ภูเก็ต!J513"")"),0)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IFERROR(__xludf.DUMMYFUNCTION("IMPORTRANGE(""https://docs.google.com/spreadsheets/d/1IYY_tgx_IHuhSq3AJ5eI5OnqOPBNLWSHKh2a30DoXe8/edit?usp=sharing"",""ภูเก็ต!I514"")"),0)</f>
        <v>0</v>
      </c>
      <c r="J619" s="195">
        <f ca="1">IFERROR(__xludf.DUMMYFUNCTION("IMPORTRANGE(""https://docs.google.com/spreadsheets/d/1IYY_tgx_IHuhSq3AJ5eI5OnqOPBNLWSHKh2a30DoXe8/edit?usp=sharing"",""ภูเก็ต!J514"")"),0)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IFERROR(__xludf.DUMMYFUNCTION("IMPORTRANGE(""https://docs.google.com/spreadsheets/d/1IYY_tgx_IHuhSq3AJ5eI5OnqOPBNLWSHKh2a30DoXe8/edit?usp=sharing"",""ภูเก็ต!I515"")"),0)</f>
        <v>0</v>
      </c>
      <c r="J620" s="209">
        <f ca="1">IFERROR(__xludf.DUMMYFUNCTION("IMPORTRANGE(""https://docs.google.com/spreadsheets/d/1IYY_tgx_IHuhSq3AJ5eI5OnqOPBNLWSHKh2a30DoXe8/edit?usp=sharing"",""ภูเก็ต!J515"")"),0)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IFERROR(__xludf.DUMMYFUNCTION("IMPORTRANGE(""https://docs.google.com/spreadsheets/d/1IYY_tgx_IHuhSq3AJ5eI5OnqOPBNLWSHKh2a30DoXe8/edit?usp=sharing"",""ภูเก็ต!I516"")"),0)</f>
        <v>0</v>
      </c>
      <c r="J621" s="209">
        <f ca="1">IFERROR(__xludf.DUMMYFUNCTION("IMPORTRANGE(""https://docs.google.com/spreadsheets/d/1IYY_tgx_IHuhSq3AJ5eI5OnqOPBNLWSHKh2a30DoXe8/edit?usp=sharing"",""ภูเก็ต!J516"")"),0)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IFERROR(__xludf.DUMMYFUNCTION("IMPORTRANGE(""https://docs.google.com/spreadsheets/d/1IYY_tgx_IHuhSq3AJ5eI5OnqOPBNLWSHKh2a30DoXe8/edit?usp=sharing"",""ภูเก็ต!I517"")"),0)</f>
        <v>0</v>
      </c>
      <c r="J622" s="195">
        <f ca="1">IFERROR(__xludf.DUMMYFUNCTION("IMPORTRANGE(""https://docs.google.com/spreadsheets/d/1IYY_tgx_IHuhSq3AJ5eI5OnqOPBNLWSHKh2a30DoXe8/edit?usp=sharing"",""ภูเก็ต!J517"")"),0)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IFERROR(__xludf.DUMMYFUNCTION("IMPORTRANGE(""https://docs.google.com/spreadsheets/d/1IYY_tgx_IHuhSq3AJ5eI5OnqOPBNLWSHKh2a30DoXe8/edit?usp=sharing"",""ภูเก็ต!I518"")"),0)</f>
        <v>0</v>
      </c>
      <c r="J623" s="195">
        <f ca="1">IFERROR(__xludf.DUMMYFUNCTION("IMPORTRANGE(""https://docs.google.com/spreadsheets/d/1IYY_tgx_IHuhSq3AJ5eI5OnqOPBNLWSHKh2a30DoXe8/edit?usp=sharing"",""ภูเก็ต!J518"")"),0)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IFERROR(__xludf.DUMMYFUNCTION("IMPORTRANGE(""https://docs.google.com/spreadsheets/d/1IYY_tgx_IHuhSq3AJ5eI5OnqOPBNLWSHKh2a30DoXe8/edit?usp=sharing"",""ภูเก็ต!I519"")"),0)</f>
        <v>0</v>
      </c>
      <c r="J624" s="194">
        <f ca="1">IFERROR(__xludf.DUMMYFUNCTION("IMPORTRANGE(""https://docs.google.com/spreadsheets/d/1IYY_tgx_IHuhSq3AJ5eI5OnqOPBNLWSHKh2a30DoXe8/edit?usp=sharing"",""ภูเก็ต!J519"")"),0)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IFERROR(__xludf.DUMMYFUNCTION("IMPORTRANGE(""https://docs.google.com/spreadsheets/d/1IYY_tgx_IHuhSq3AJ5eI5OnqOPBNLWSHKh2a30DoXe8/edit?usp=sharing"",""ภูเก็ต!I520"")"),0)</f>
        <v>0</v>
      </c>
      <c r="J625" s="195">
        <f ca="1">IFERROR(__xludf.DUMMYFUNCTION("IMPORTRANGE(""https://docs.google.com/spreadsheets/d/1IYY_tgx_IHuhSq3AJ5eI5OnqOPBNLWSHKh2a30DoXe8/edit?usp=sharing"",""ภูเก็ต!J520"")"),0)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IFERROR(__xludf.DUMMYFUNCTION("IMPORTRANGE(""https://docs.google.com/spreadsheets/d/1IYY_tgx_IHuhSq3AJ5eI5OnqOPBNLWSHKh2a30DoXe8/edit?usp=sharing"",""ภูเก็ต!I521"")"),0)</f>
        <v>0</v>
      </c>
      <c r="J626" s="195">
        <f ca="1">IFERROR(__xludf.DUMMYFUNCTION("IMPORTRANGE(""https://docs.google.com/spreadsheets/d/1IYY_tgx_IHuhSq3AJ5eI5OnqOPBNLWSHKh2a30DoXe8/edit?usp=sharing"",""ภูเก็ต!J521"")"),0)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2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2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IFERROR(__xludf.DUMMYFUNCTION("IMPORTRANGE(""https://docs.google.com/spreadsheets/d/1IYY_tgx_IHuhSq3AJ5eI5OnqOPBNLWSHKh2a30DoXe8/edit?usp=sharing"",""ภูเก็ต!I523"")"),584119.4)</f>
        <v>584119.4</v>
      </c>
      <c r="J628" s="347">
        <f ca="1">IFERROR(__xludf.DUMMYFUNCTION("IMPORTRANGE(""https://docs.google.com/spreadsheets/d/1IYY_tgx_IHuhSq3AJ5eI5OnqOPBNLWSHKh2a30DoXe8/edit?usp=sharing"",""ภูเก็ต!J523"")"),553034.85)</f>
        <v>553034.85</v>
      </c>
      <c r="K628" s="348">
        <f t="shared" ref="K628:K635" ca="1" si="129">IF(I628&gt;0,J628*100/I628,0)</f>
        <v>94.678391096067003</v>
      </c>
      <c r="L628" s="348"/>
      <c r="M628" s="348"/>
      <c r="N628" s="348"/>
      <c r="O628" s="175"/>
      <c r="P628" s="175"/>
    </row>
    <row r="629" spans="1:16" ht="21.75" customHeight="1" x14ac:dyDescent="0.2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IFERROR(__xludf.DUMMYFUNCTION("IMPORTRANGE(""https://docs.google.com/spreadsheets/d/1IYY_tgx_IHuhSq3AJ5eI5OnqOPBNLWSHKh2a30DoXe8/edit?usp=sharing"",""ภูเก็ต!I524"")"),32)</f>
        <v>32</v>
      </c>
      <c r="J629" s="347">
        <f ca="1">IFERROR(__xludf.DUMMYFUNCTION("IMPORTRANGE(""https://docs.google.com/spreadsheets/d/1IYY_tgx_IHuhSq3AJ5eI5OnqOPBNLWSHKh2a30DoXe8/edit?usp=sharing"",""ภูเก็ต!J524"")"),28)</f>
        <v>28</v>
      </c>
      <c r="K629" s="348">
        <f t="shared" ca="1" si="129"/>
        <v>87.5</v>
      </c>
      <c r="L629" s="348"/>
      <c r="M629" s="348"/>
      <c r="N629" s="348"/>
      <c r="O629" s="175"/>
      <c r="P629" s="175"/>
    </row>
    <row r="630" spans="1:16" ht="21.75" customHeight="1" x14ac:dyDescent="0.2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IFERROR(__xludf.DUMMYFUNCTION("IMPORTRANGE(""https://docs.google.com/spreadsheets/d/1IYY_tgx_IHuhSq3AJ5eI5OnqOPBNLWSHKh2a30DoXe8/edit?usp=sharing"",""ภูเก็ต!I525"")"),0)</f>
        <v>0</v>
      </c>
      <c r="J630" s="347">
        <f ca="1">IFERROR(__xludf.DUMMYFUNCTION("IMPORTRANGE(""https://docs.google.com/spreadsheets/d/1IYY_tgx_IHuhSq3AJ5eI5OnqOPBNLWSHKh2a30DoXe8/edit?usp=sharing"",""ภูเก็ต!J525"")"),0)</f>
        <v>0</v>
      </c>
      <c r="K630" s="348">
        <f t="shared" ca="1" si="129"/>
        <v>0</v>
      </c>
      <c r="L630" s="348"/>
      <c r="M630" s="348"/>
      <c r="N630" s="348"/>
      <c r="O630" s="175"/>
      <c r="P630" s="175"/>
    </row>
    <row r="631" spans="1:16" ht="21.75" customHeight="1" x14ac:dyDescent="0.2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IFERROR(__xludf.DUMMYFUNCTION("IMPORTRANGE(""https://docs.google.com/spreadsheets/d/1IYY_tgx_IHuhSq3AJ5eI5OnqOPBNLWSHKh2a30DoXe8/edit?usp=sharing"",""ภูเก็ต!I526"")"),0)</f>
        <v>0</v>
      </c>
      <c r="J631" s="347">
        <f ca="1">IFERROR(__xludf.DUMMYFUNCTION("IMPORTRANGE(""https://docs.google.com/spreadsheets/d/1IYY_tgx_IHuhSq3AJ5eI5OnqOPBNLWSHKh2a30DoXe8/edit?usp=sharing"",""ภูเก็ต!J526"")"),0)</f>
        <v>0</v>
      </c>
      <c r="K631" s="348">
        <f t="shared" ca="1" si="129"/>
        <v>0</v>
      </c>
      <c r="L631" s="348"/>
      <c r="M631" s="348"/>
      <c r="N631" s="348"/>
      <c r="O631" s="175"/>
      <c r="P631" s="175"/>
    </row>
    <row r="632" spans="1:16" ht="21.75" customHeight="1" x14ac:dyDescent="0.2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IFERROR(__xludf.DUMMYFUNCTION("IMPORTRANGE(""https://docs.google.com/spreadsheets/d/1IYY_tgx_IHuhSq3AJ5eI5OnqOPBNLWSHKh2a30DoXe8/edit?usp=sharing"",""ภูเก็ต!I527"")"),0)</f>
        <v>0</v>
      </c>
      <c r="J632" s="347">
        <f ca="1">IFERROR(__xludf.DUMMYFUNCTION("IMPORTRANGE(""https://docs.google.com/spreadsheets/d/1IYY_tgx_IHuhSq3AJ5eI5OnqOPBNLWSHKh2a30DoXe8/edit?usp=sharing"",""ภูเก็ต!J527"")"),0)</f>
        <v>0</v>
      </c>
      <c r="K632" s="348">
        <f t="shared" ca="1" si="129"/>
        <v>0</v>
      </c>
      <c r="L632" s="348"/>
      <c r="M632" s="348"/>
      <c r="N632" s="348"/>
      <c r="O632" s="175"/>
      <c r="P632" s="175"/>
    </row>
    <row r="633" spans="1:16" ht="21.75" customHeight="1" x14ac:dyDescent="0.2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IFERROR(__xludf.DUMMYFUNCTION("IMPORTRANGE(""https://docs.google.com/spreadsheets/d/1IYY_tgx_IHuhSq3AJ5eI5OnqOPBNLWSHKh2a30DoXe8/edit?usp=sharing"",""ภูเก็ต!I528"")"),0)</f>
        <v>0</v>
      </c>
      <c r="J633" s="347">
        <f ca="1">IFERROR(__xludf.DUMMYFUNCTION("IMPORTRANGE(""https://docs.google.com/spreadsheets/d/1IYY_tgx_IHuhSq3AJ5eI5OnqOPBNLWSHKh2a30DoXe8/edit?usp=sharing"",""ภูเก็ต!J528"")"),0)</f>
        <v>0</v>
      </c>
      <c r="K633" s="348">
        <f t="shared" ca="1" si="129"/>
        <v>0</v>
      </c>
      <c r="L633" s="348"/>
      <c r="M633" s="348"/>
      <c r="N633" s="348"/>
      <c r="O633" s="175"/>
      <c r="P633" s="175"/>
    </row>
    <row r="634" spans="1:16" ht="21.75" customHeight="1" x14ac:dyDescent="0.2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IFERROR(__xludf.DUMMYFUNCTION("IMPORTRANGE(""https://docs.google.com/spreadsheets/d/1IYY_tgx_IHuhSq3AJ5eI5OnqOPBNLWSHKh2a30DoXe8/edit?usp=sharing"",""ภูเก็ต!I529"")"),650000)</f>
        <v>650000</v>
      </c>
      <c r="J634" s="347">
        <f ca="1">IFERROR(__xludf.DUMMYFUNCTION("IMPORTRANGE(""https://docs.google.com/spreadsheets/d/1IYY_tgx_IHuhSq3AJ5eI5OnqOPBNLWSHKh2a30DoXe8/edit?usp=sharing"",""ภูเก็ต!J529"")"),500000)</f>
        <v>500000</v>
      </c>
      <c r="K634" s="348">
        <f t="shared" ca="1" si="129"/>
        <v>76.92307692307692</v>
      </c>
      <c r="L634" s="348"/>
      <c r="M634" s="348"/>
      <c r="N634" s="348"/>
      <c r="O634" s="175"/>
      <c r="P634" s="175"/>
    </row>
    <row r="635" spans="1:16" ht="21.75" customHeight="1" x14ac:dyDescent="0.25">
      <c r="A635" s="487"/>
      <c r="B635" s="489"/>
      <c r="C635" s="489"/>
      <c r="D635" s="488"/>
      <c r="E635" s="515"/>
      <c r="F635" s="515"/>
      <c r="G635" s="516"/>
      <c r="H635" s="517" t="s">
        <v>37</v>
      </c>
      <c r="I635" s="518">
        <f ca="1">IFERROR(__xludf.DUMMYFUNCTION("IMPORTRANGE(""https://docs.google.com/spreadsheets/d/1IYY_tgx_IHuhSq3AJ5eI5OnqOPBNLWSHKh2a30DoXe8/edit?usp=sharing"",""ภูเก็ต!I530"")"),7)</f>
        <v>7</v>
      </c>
      <c r="J635" s="518">
        <f ca="1">IFERROR(__xludf.DUMMYFUNCTION("IMPORTRANGE(""https://docs.google.com/spreadsheets/d/1IYY_tgx_IHuhSq3AJ5eI5OnqOPBNLWSHKh2a30DoXe8/edit?usp=sharing"",""ภูเก็ต!J530"")"),10)</f>
        <v>10</v>
      </c>
      <c r="K635" s="493">
        <f t="shared" ca="1" si="129"/>
        <v>142.85714285714286</v>
      </c>
      <c r="L635" s="493"/>
      <c r="M635" s="493"/>
      <c r="N635" s="493"/>
      <c r="O635" s="519"/>
      <c r="P635" s="519"/>
    </row>
    <row r="636" spans="1:16" ht="21.75" customHeight="1" x14ac:dyDescent="0.3">
      <c r="A636" s="520"/>
      <c r="B636" s="599" t="s">
        <v>237</v>
      </c>
      <c r="C636" s="600"/>
      <c r="D636" s="600"/>
      <c r="E636" s="600"/>
      <c r="F636" s="600"/>
      <c r="G636" s="600"/>
      <c r="H636" s="521"/>
      <c r="I636" s="521"/>
      <c r="J636" s="521"/>
      <c r="K636" s="522"/>
      <c r="L636" s="523">
        <f ca="1">SUM(L637,L638)</f>
        <v>0</v>
      </c>
      <c r="M636" s="524"/>
      <c r="N636" s="523">
        <f ca="1">SUM(N637:N638)</f>
        <v>0</v>
      </c>
      <c r="O636" s="523">
        <f t="shared" ref="O636:O640" ca="1" si="130">+IF(L636&gt;0,N636*100/L636,0)</f>
        <v>0</v>
      </c>
      <c r="P636" s="523"/>
    </row>
    <row r="637" spans="1:16" ht="21.75" customHeight="1" x14ac:dyDescent="0.3">
      <c r="A637" s="525"/>
      <c r="B637" s="526"/>
      <c r="C637" s="527" t="s">
        <v>16</v>
      </c>
      <c r="D637" s="601" t="s">
        <v>77</v>
      </c>
      <c r="E637" s="575"/>
      <c r="F637" s="575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130"/>
        <v>0</v>
      </c>
      <c r="P637" s="535"/>
    </row>
    <row r="638" spans="1:16" ht="21.75" customHeight="1" x14ac:dyDescent="0.3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0</v>
      </c>
      <c r="M638" s="534"/>
      <c r="N638" s="535">
        <f ca="1">SUM(N639:N640)</f>
        <v>0</v>
      </c>
      <c r="O638" s="535">
        <f t="shared" ca="1" si="130"/>
        <v>0</v>
      </c>
      <c r="P638" s="535"/>
    </row>
    <row r="639" spans="1:16" ht="21.75" customHeight="1" x14ac:dyDescent="0.3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130"/>
        <v>0</v>
      </c>
      <c r="P639" s="535"/>
    </row>
    <row r="640" spans="1:16" ht="21.75" customHeight="1" x14ac:dyDescent="0.3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0</v>
      </c>
      <c r="M640" s="534"/>
      <c r="N640" s="535">
        <f ca="1">SUM(N641:N644)</f>
        <v>0</v>
      </c>
      <c r="O640" s="535">
        <f t="shared" ca="1" si="130"/>
        <v>0</v>
      </c>
      <c r="P640" s="535"/>
    </row>
    <row r="641" spans="1:16" ht="21.75" customHeight="1" x14ac:dyDescent="0.3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3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3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3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0</v>
      </c>
      <c r="O644" s="537"/>
      <c r="P644" s="537"/>
    </row>
    <row r="645" spans="1:16" ht="21.75" customHeight="1" x14ac:dyDescent="0.3">
      <c r="A645" s="539"/>
      <c r="B645" s="540"/>
      <c r="C645" s="527" t="s">
        <v>16</v>
      </c>
      <c r="D645" s="602" t="s">
        <v>242</v>
      </c>
      <c r="E645" s="575"/>
      <c r="F645" s="575"/>
      <c r="G645" s="575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3">
      <c r="A646" s="539"/>
      <c r="B646" s="540"/>
      <c r="C646" s="540"/>
      <c r="D646" s="541">
        <v>1</v>
      </c>
      <c r="E646" s="603" t="s">
        <v>44</v>
      </c>
      <c r="F646" s="575"/>
      <c r="G646" s="575"/>
      <c r="H646" s="536"/>
      <c r="I646" s="542"/>
      <c r="J646" s="543">
        <f ca="1">IFERROR(__xludf.DUMMYFUNCTION("IMPORTRANGE(""https://docs.google.com/spreadsheets/d/1IYY_tgx_IHuhSq3AJ5eI5OnqOPBNLWSHKh2a30DoXe8/edit?usp=sharing"",""ภูเก็ต!J541"")"),0)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3">
      <c r="A647" s="539"/>
      <c r="B647" s="540"/>
      <c r="C647" s="540"/>
      <c r="D647" s="545">
        <v>2</v>
      </c>
      <c r="E647" s="604" t="s">
        <v>243</v>
      </c>
      <c r="F647" s="575"/>
      <c r="G647" s="575"/>
      <c r="H647" s="536"/>
      <c r="I647" s="542"/>
      <c r="J647" s="543">
        <f ca="1">IFERROR(__xludf.DUMMYFUNCTION("IMPORTRANGE(""https://docs.google.com/spreadsheets/d/1IYY_tgx_IHuhSq3AJ5eI5OnqOPBNLWSHKh2a30DoXe8/edit?usp=sharing"",""ภูเก็ต!J542"")"),0)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3">
      <c r="A648" s="525"/>
      <c r="B648" s="526"/>
      <c r="C648" s="526"/>
      <c r="D648" s="526"/>
      <c r="E648" s="526"/>
      <c r="F648" s="598" t="s">
        <v>244</v>
      </c>
      <c r="G648" s="575"/>
      <c r="H648" s="529" t="s">
        <v>122</v>
      </c>
      <c r="I648" s="546">
        <f ca="1">IFERROR(__xludf.DUMMYFUNCTION("IMPORTRANGE(""https://docs.google.com/spreadsheets/d/1IYY_tgx_IHuhSq3AJ5eI5OnqOPBNLWSHKh2a30DoXe8/edit?usp=sharing"",""ภูเก็ต!I543"")"),0)</f>
        <v>0</v>
      </c>
      <c r="J648" s="547">
        <f ca="1">IFERROR(__xludf.DUMMYFUNCTION("IMPORTRANGE(""https://docs.google.com/spreadsheets/d/1IYY_tgx_IHuhSq3AJ5eI5OnqOPBNLWSHKh2a30DoXe8/edit?usp=sharing"",""ภูเก็ต!J543"")"),0)</f>
        <v>0</v>
      </c>
      <c r="K648" s="548">
        <f t="shared" ref="K648:K651" ca="1" si="131">IF(I648&gt;0,J648*100/I648,0)</f>
        <v>0</v>
      </c>
      <c r="L648" s="535">
        <f ca="1">IFERROR(__xludf.DUMMYFUNCTION("IMPORTRANGE(""https://docs.google.com/spreadsheets/d/1IYY_tgx_IHuhSq3AJ5eI5OnqOPBNLWSHKh2a30DoXe8/edit?usp=sharing"",""ภูเก็ต!L543"")"),0)</f>
        <v>0</v>
      </c>
      <c r="M648" s="534"/>
      <c r="N648" s="549">
        <f ca="1">IFERROR(__xludf.DUMMYFUNCTION("IMPORTRANGE(""https://docs.google.com/spreadsheets/d/1IYY_tgx_IHuhSq3AJ5eI5OnqOPBNLWSHKh2a30DoXe8/edit?usp=sharing"",""ภูเก็ต!M543"")"),0)</f>
        <v>0</v>
      </c>
      <c r="O648" s="548">
        <f t="shared" ref="O648:O651" ca="1" si="132">IF(L648&gt;0,N648*100/L648,0)</f>
        <v>0</v>
      </c>
      <c r="P648" s="548"/>
    </row>
    <row r="649" spans="1:16" ht="21.75" customHeight="1" x14ac:dyDescent="0.3">
      <c r="A649" s="525"/>
      <c r="B649" s="526"/>
      <c r="C649" s="526"/>
      <c r="D649" s="526"/>
      <c r="E649" s="526"/>
      <c r="F649" s="598" t="s">
        <v>245</v>
      </c>
      <c r="G649" s="575"/>
      <c r="H649" s="529" t="s">
        <v>37</v>
      </c>
      <c r="I649" s="546">
        <f ca="1">IFERROR(__xludf.DUMMYFUNCTION("IMPORTRANGE(""https://docs.google.com/spreadsheets/d/1IYY_tgx_IHuhSq3AJ5eI5OnqOPBNLWSHKh2a30DoXe8/edit?usp=sharing"",""ภูเก็ต!I544"")"),0)</f>
        <v>0</v>
      </c>
      <c r="J649" s="547">
        <f ca="1">IFERROR(__xludf.DUMMYFUNCTION("IMPORTRANGE(""https://docs.google.com/spreadsheets/d/1IYY_tgx_IHuhSq3AJ5eI5OnqOPBNLWSHKh2a30DoXe8/edit?usp=sharing"",""ภูเก็ต!J544"")"),0)</f>
        <v>0</v>
      </c>
      <c r="K649" s="548">
        <f t="shared" ca="1" si="131"/>
        <v>0</v>
      </c>
      <c r="L649" s="535">
        <f ca="1">IFERROR(__xludf.DUMMYFUNCTION("IMPORTRANGE(""https://docs.google.com/spreadsheets/d/1IYY_tgx_IHuhSq3AJ5eI5OnqOPBNLWSHKh2a30DoXe8/edit?usp=sharing"",""ภูเก็ต!L544"")"),0)</f>
        <v>0</v>
      </c>
      <c r="M649" s="534"/>
      <c r="N649" s="549">
        <f ca="1">IFERROR(__xludf.DUMMYFUNCTION("IMPORTRANGE(""https://docs.google.com/spreadsheets/d/1IYY_tgx_IHuhSq3AJ5eI5OnqOPBNLWSHKh2a30DoXe8/edit?usp=sharing"",""ภูเก็ต!M544"")"),0)</f>
        <v>0</v>
      </c>
      <c r="O649" s="548">
        <f t="shared" ca="1" si="132"/>
        <v>0</v>
      </c>
      <c r="P649" s="548"/>
    </row>
    <row r="650" spans="1:16" ht="21.75" customHeight="1" x14ac:dyDescent="0.3">
      <c r="A650" s="525"/>
      <c r="B650" s="526"/>
      <c r="C650" s="526"/>
      <c r="D650" s="526"/>
      <c r="E650" s="526"/>
      <c r="F650" s="598" t="s">
        <v>246</v>
      </c>
      <c r="G650" s="575"/>
      <c r="H650" s="529" t="s">
        <v>122</v>
      </c>
      <c r="I650" s="546">
        <f ca="1">IFERROR(__xludf.DUMMYFUNCTION("IMPORTRANGE(""https://docs.google.com/spreadsheets/d/1IYY_tgx_IHuhSq3AJ5eI5OnqOPBNLWSHKh2a30DoXe8/edit?usp=sharing"",""ภูเก็ต!I545"")"),0)</f>
        <v>0</v>
      </c>
      <c r="J650" s="547">
        <f ca="1">IFERROR(__xludf.DUMMYFUNCTION("IMPORTRANGE(""https://docs.google.com/spreadsheets/d/1IYY_tgx_IHuhSq3AJ5eI5OnqOPBNLWSHKh2a30DoXe8/edit?usp=sharing"",""ภูเก็ต!J545"")"),0)</f>
        <v>0</v>
      </c>
      <c r="K650" s="548">
        <f t="shared" ca="1" si="131"/>
        <v>0</v>
      </c>
      <c r="L650" s="535">
        <f ca="1">IFERROR(__xludf.DUMMYFUNCTION("IMPORTRANGE(""https://docs.google.com/spreadsheets/d/1IYY_tgx_IHuhSq3AJ5eI5OnqOPBNLWSHKh2a30DoXe8/edit?usp=sharing"",""ภูเก็ต!L545"")"),0)</f>
        <v>0</v>
      </c>
      <c r="M650" s="534"/>
      <c r="N650" s="549">
        <f ca="1">IFERROR(__xludf.DUMMYFUNCTION("IMPORTRANGE(""https://docs.google.com/spreadsheets/d/1IYY_tgx_IHuhSq3AJ5eI5OnqOPBNLWSHKh2a30DoXe8/edit?usp=sharing"",""ภูเก็ต!M545"")"),0)</f>
        <v>0</v>
      </c>
      <c r="O650" s="548">
        <f t="shared" ca="1" si="132"/>
        <v>0</v>
      </c>
      <c r="P650" s="548"/>
    </row>
    <row r="651" spans="1:16" ht="21.75" customHeight="1" x14ac:dyDescent="0.3">
      <c r="A651" s="525"/>
      <c r="B651" s="526"/>
      <c r="C651" s="526"/>
      <c r="D651" s="526"/>
      <c r="E651" s="526"/>
      <c r="F651" s="598" t="s">
        <v>247</v>
      </c>
      <c r="G651" s="575"/>
      <c r="H651" s="529" t="s">
        <v>122</v>
      </c>
      <c r="I651" s="546">
        <f ca="1">IFERROR(__xludf.DUMMYFUNCTION("IMPORTRANGE(""https://docs.google.com/spreadsheets/d/1IYY_tgx_IHuhSq3AJ5eI5OnqOPBNLWSHKh2a30DoXe8/edit?usp=sharing"",""ภูเก็ต!I546"")"),0)</f>
        <v>0</v>
      </c>
      <c r="J651" s="547">
        <f ca="1">J657+J660</f>
        <v>0</v>
      </c>
      <c r="K651" s="548">
        <f t="shared" ca="1" si="131"/>
        <v>0</v>
      </c>
      <c r="L651" s="535">
        <f ca="1">IFERROR(__xludf.DUMMYFUNCTION("IMPORTRANGE(""https://docs.google.com/spreadsheets/d/1IYY_tgx_IHuhSq3AJ5eI5OnqOPBNLWSHKh2a30DoXe8/edit?usp=sharing"",""ภูเก็ต!L546"")"),0)</f>
        <v>0</v>
      </c>
      <c r="M651" s="534"/>
      <c r="N651" s="549">
        <f ca="1">IFERROR(__xludf.DUMMYFUNCTION("IMPORTRANGE(""https://docs.google.com/spreadsheets/d/1IYY_tgx_IHuhSq3AJ5eI5OnqOPBNLWSHKh2a30DoXe8/edit?usp=sharing"",""ภูเก็ต!M546"")"),0)</f>
        <v>0</v>
      </c>
      <c r="O651" s="548">
        <f t="shared" ca="1" si="132"/>
        <v>0</v>
      </c>
      <c r="P651" s="548"/>
    </row>
    <row r="652" spans="1:16" ht="21.75" customHeight="1" x14ac:dyDescent="0.3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IFERROR(__xludf.DUMMYFUNCTION("IMPORTRANGE(""https://docs.google.com/spreadsheets/d/1IYY_tgx_IHuhSq3AJ5eI5OnqOPBNLWSHKh2a30DoXe8/edit?usp=sharing"",""ภูเก็ต!J547"")"),0)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3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IFERROR(__xludf.DUMMYFUNCTION("IMPORTRANGE(""https://docs.google.com/spreadsheets/d/1IYY_tgx_IHuhSq3AJ5eI5OnqOPBNLWSHKh2a30DoXe8/edit?usp=sharing"",""ภูเก็ต!J548"")"),0)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3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3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IFERROR(__xludf.DUMMYFUNCTION("IMPORTRANGE(""https://docs.google.com/spreadsheets/d/1IYY_tgx_IHuhSq3AJ5eI5OnqOPBNLWSHKh2a30DoXe8/edit?usp=sharing"",""ภูเก็ต!J550"")"),0)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3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IFERROR(__xludf.DUMMYFUNCTION("IMPORTRANGE(""https://docs.google.com/spreadsheets/d/1IYY_tgx_IHuhSq3AJ5eI5OnqOPBNLWSHKh2a30DoXe8/edit?usp=sharing"",""ภูเก็ต!J551"")"),0)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3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IFERROR(__xludf.DUMMYFUNCTION("IMPORTRANGE(""https://docs.google.com/spreadsheets/d/1IYY_tgx_IHuhSq3AJ5eI5OnqOPBNLWSHKh2a30DoXe8/edit?usp=sharing"",""ภูเก็ต!J552"")"),0)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3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IFERROR(__xludf.DUMMYFUNCTION("IMPORTRANGE(""https://docs.google.com/spreadsheets/d/1IYY_tgx_IHuhSq3AJ5eI5OnqOPBNLWSHKh2a30DoXe8/edit?usp=sharing"",""ภูเก็ต!J553"")"),0)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3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IFERROR(__xludf.DUMMYFUNCTION("IMPORTRANGE(""https://docs.google.com/spreadsheets/d/1IYY_tgx_IHuhSq3AJ5eI5OnqOPBNLWSHKh2a30DoXe8/edit?usp=sharing"",""ภูเก็ต!J554"")"),0)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3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IFERROR(__xludf.DUMMYFUNCTION("IMPORTRANGE(""https://docs.google.com/spreadsheets/d/1IYY_tgx_IHuhSq3AJ5eI5OnqOPBNLWSHKh2a30DoXe8/edit?usp=sharing"",""ภูเก็ต!J555"")"),0)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3">
      <c r="A661" s="525"/>
      <c r="B661" s="526"/>
      <c r="C661" s="526"/>
      <c r="D661" s="526"/>
      <c r="E661" s="526"/>
      <c r="F661" s="598" t="s">
        <v>252</v>
      </c>
      <c r="G661" s="575"/>
      <c r="H661" s="529" t="s">
        <v>37</v>
      </c>
      <c r="I661" s="550"/>
      <c r="J661" s="547">
        <f ca="1">IFERROR(__xludf.DUMMYFUNCTION("IMPORTRANGE(""https://docs.google.com/spreadsheets/d/1IYY_tgx_IHuhSq3AJ5eI5OnqOPBNLWSHKh2a30DoXe8/edit?usp=sharing"",""ภูเก็ต!J556"")"),0)</f>
        <v>0</v>
      </c>
      <c r="K661" s="548"/>
      <c r="L661" s="535">
        <f ca="1">IFERROR(__xludf.DUMMYFUNCTION("IMPORTRANGE(""https://docs.google.com/spreadsheets/d/1IYY_tgx_IHuhSq3AJ5eI5OnqOPBNLWSHKh2a30DoXe8/edit?usp=sharing"",""ภูเก็ต!L556"")"),0)</f>
        <v>0</v>
      </c>
      <c r="M661" s="534"/>
      <c r="N661" s="549">
        <f ca="1">IFERROR(__xludf.DUMMYFUNCTION("IMPORTRANGE(""https://docs.google.com/spreadsheets/d/1IYY_tgx_IHuhSq3AJ5eI5OnqOPBNLWSHKh2a30DoXe8/edit?usp=sharing"",""ภูเก็ต!M556"")"),0)</f>
        <v>0</v>
      </c>
      <c r="O661" s="548">
        <f ca="1">IF(L661&gt;0,N661*100/L661,0)</f>
        <v>0</v>
      </c>
      <c r="P661" s="548"/>
    </row>
    <row r="662" spans="1:16" ht="21.75" customHeight="1" x14ac:dyDescent="0.3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IFERROR(__xludf.DUMMYFUNCTION("IMPORTRANGE(""https://docs.google.com/spreadsheets/d/1IYY_tgx_IHuhSq3AJ5eI5OnqOPBNLWSHKh2a30DoXe8/edit?usp=sharing"",""ภูเก็ต!J557"")"),0)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3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IFERROR(__xludf.DUMMYFUNCTION("IMPORTRANGE(""https://docs.google.com/spreadsheets/d/1IYY_tgx_IHuhSq3AJ5eI5OnqOPBNLWSHKh2a30DoXe8/edit?usp=sharing"",""ภูเก็ต!I558"")"),0)</f>
        <v>0</v>
      </c>
      <c r="J663" s="547">
        <f ca="1">IFERROR(__xludf.DUMMYFUNCTION("IMPORTRANGE(""https://docs.google.com/spreadsheets/d/1IYY_tgx_IHuhSq3AJ5eI5OnqOPBNLWSHKh2a30DoXe8/edit?usp=sharing"",""ภูเก็ต!J558"")"),0)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3">
      <c r="A664" s="525"/>
      <c r="B664" s="526"/>
      <c r="C664" s="526"/>
      <c r="D664" s="526"/>
      <c r="E664" s="526"/>
      <c r="F664" s="598" t="s">
        <v>253</v>
      </c>
      <c r="G664" s="575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3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IFERROR(__xludf.DUMMYFUNCTION("IMPORTRANGE(""https://docs.google.com/spreadsheets/d/1IYY_tgx_IHuhSq3AJ5eI5OnqOPBNLWSHKh2a30DoXe8/edit?usp=sharing"",""ภูเก็ต!I560"")"),0)</f>
        <v>0</v>
      </c>
      <c r="J665" s="547">
        <f ca="1">IFERROR(__xludf.DUMMYFUNCTION("IMPORTRANGE(""https://docs.google.com/spreadsheets/d/1IYY_tgx_IHuhSq3AJ5eI5OnqOPBNLWSHKh2a30DoXe8/edit?usp=sharing"",""ภูเก็ต!J560"")"),0)</f>
        <v>0</v>
      </c>
      <c r="K665" s="548">
        <f ca="1">IF(I665&gt;0,J665*100/I665,0)</f>
        <v>0</v>
      </c>
      <c r="L665" s="535">
        <f ca="1">IFERROR(__xludf.DUMMYFUNCTION("IMPORTRANGE(""https://docs.google.com/spreadsheets/d/1IYY_tgx_IHuhSq3AJ5eI5OnqOPBNLWSHKh2a30DoXe8/edit?usp=sharing"",""ภูเก็ต!L560"")"),0)</f>
        <v>0</v>
      </c>
      <c r="M665" s="534"/>
      <c r="N665" s="549">
        <f ca="1">IFERROR(__xludf.DUMMYFUNCTION("IMPORTRANGE(""https://docs.google.com/spreadsheets/d/1IYY_tgx_IHuhSq3AJ5eI5OnqOPBNLWSHKh2a30DoXe8/edit?usp=sharing"",""ภูเก็ต!M560"")"),0)</f>
        <v>0</v>
      </c>
      <c r="O665" s="548">
        <f ca="1">IF(L665&gt;0,N665*100/L665,0)</f>
        <v>0</v>
      </c>
      <c r="P665" s="548"/>
    </row>
    <row r="666" spans="1:16" ht="21.75" customHeight="1" x14ac:dyDescent="0.3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IFERROR(__xludf.DUMMYFUNCTION("IMPORTRANGE(""https://docs.google.com/spreadsheets/d/1IYY_tgx_IHuhSq3AJ5eI5OnqOPBNLWSHKh2a30DoXe8/edit?usp=sharing"",""ภูเก็ต!J561"")"),0)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3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IFERROR(__xludf.DUMMYFUNCTION("IMPORTRANGE(""https://docs.google.com/spreadsheets/d/1IYY_tgx_IHuhSq3AJ5eI5OnqOPBNLWSHKh2a30DoXe8/edit?usp=sharing"",""ภูเก็ต!J562"")"),0)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3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IFERROR(__xludf.DUMMYFUNCTION("IMPORTRANGE(""https://docs.google.com/spreadsheets/d/1IYY_tgx_IHuhSq3AJ5eI5OnqOPBNLWSHKh2a30DoXe8/edit?usp=sharing"",""ภูเก็ต!I563"")"),0)</f>
        <v>0</v>
      </c>
      <c r="J668" s="547">
        <f ca="1">IFERROR(__xludf.DUMMYFUNCTION("IMPORTRANGE(""https://docs.google.com/spreadsheets/d/1IYY_tgx_IHuhSq3AJ5eI5OnqOPBNLWSHKh2a30DoXe8/edit?usp=sharing"",""ภูเก็ต!J563"")"),0)</f>
        <v>0</v>
      </c>
      <c r="K668" s="548">
        <f ca="1">IF(I668&gt;0,J668*100/I668,0)</f>
        <v>0</v>
      </c>
      <c r="L668" s="535">
        <f ca="1">IFERROR(__xludf.DUMMYFUNCTION("IMPORTRANGE(""https://docs.google.com/spreadsheets/d/1IYY_tgx_IHuhSq3AJ5eI5OnqOPBNLWSHKh2a30DoXe8/edit?usp=sharing"",""ภูเก็ต!L563"")"),0)</f>
        <v>0</v>
      </c>
      <c r="M668" s="534"/>
      <c r="N668" s="549">
        <f ca="1">IFERROR(__xludf.DUMMYFUNCTION("IMPORTRANGE(""https://docs.google.com/spreadsheets/d/1IYY_tgx_IHuhSq3AJ5eI5OnqOPBNLWSHKh2a30DoXe8/edit?usp=sharing"",""ภูเก็ต!M563"")"),0)</f>
        <v>0</v>
      </c>
      <c r="O668" s="548">
        <f ca="1">IF(L668&gt;0,N668*100/L668,0)</f>
        <v>0</v>
      </c>
      <c r="P668" s="548"/>
    </row>
    <row r="669" spans="1:16" ht="21.75" customHeight="1" x14ac:dyDescent="0.3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IFERROR(__xludf.DUMMYFUNCTION("IMPORTRANGE(""https://docs.google.com/spreadsheets/d/1IYY_tgx_IHuhSq3AJ5eI5OnqOPBNLWSHKh2a30DoXe8/edit?usp=sharing"",""ภูเก็ต!J564"")"),0)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3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IFERROR(__xludf.DUMMYFUNCTION("IMPORTRANGE(""https://docs.google.com/spreadsheets/d/1IYY_tgx_IHuhSq3AJ5eI5OnqOPBNLWSHKh2a30DoXe8/edit?usp=sharing"",""ภูเก็ต!J565"")"),0)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3">
      <c r="A671" s="525"/>
      <c r="B671" s="526"/>
      <c r="C671" s="526"/>
      <c r="D671" s="526"/>
      <c r="E671" s="526"/>
      <c r="F671" s="598" t="s">
        <v>256</v>
      </c>
      <c r="G671" s="575"/>
      <c r="H671" s="529" t="s">
        <v>122</v>
      </c>
      <c r="I671" s="546">
        <f ca="1">IFERROR(__xludf.DUMMYFUNCTION("IMPORTRANGE(""https://docs.google.com/spreadsheets/d/1IYY_tgx_IHuhSq3AJ5eI5OnqOPBNLWSHKh2a30DoXe8/edit?usp=sharing"",""ภูเก็ต!I566"")"),0)</f>
        <v>0</v>
      </c>
      <c r="J671" s="547">
        <f ca="1">J674+J677</f>
        <v>0</v>
      </c>
      <c r="K671" s="548">
        <f ca="1">IF(I671&gt;0,J671*100/I671,0)</f>
        <v>0</v>
      </c>
      <c r="L671" s="535">
        <f ca="1">IFERROR(__xludf.DUMMYFUNCTION("IMPORTRANGE(""https://docs.google.com/spreadsheets/d/1IYY_tgx_IHuhSq3AJ5eI5OnqOPBNLWSHKh2a30DoXe8/edit?usp=sharing"",""ภูเก็ต!L566"")"),0)</f>
        <v>0</v>
      </c>
      <c r="M671" s="534"/>
      <c r="N671" s="549">
        <f ca="1">IFERROR(__xludf.DUMMYFUNCTION("IMPORTRANGE(""https://docs.google.com/spreadsheets/d/1IYY_tgx_IHuhSq3AJ5eI5OnqOPBNLWSHKh2a30DoXe8/edit?usp=sharing"",""ภูเก็ต!M566"")"),0)</f>
        <v>0</v>
      </c>
      <c r="O671" s="548">
        <f ca="1">IF(L671&gt;0,N671*100/L671,0)</f>
        <v>0</v>
      </c>
      <c r="P671" s="548"/>
    </row>
    <row r="672" spans="1:16" ht="21.75" customHeight="1" x14ac:dyDescent="0.3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IFERROR(__xludf.DUMMYFUNCTION("IMPORTRANGE(""https://docs.google.com/spreadsheets/d/1IYY_tgx_IHuhSq3AJ5eI5OnqOPBNLWSHKh2a30DoXe8/edit?usp=sharing"",""ภูเก็ต!J567"")"),0)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3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IFERROR(__xludf.DUMMYFUNCTION("IMPORTRANGE(""https://docs.google.com/spreadsheets/d/1IYY_tgx_IHuhSq3AJ5eI5OnqOPBNLWSHKh2a30DoXe8/edit?usp=sharing"",""ภูเก็ต!J568"")"),0)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3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IFERROR(__xludf.DUMMYFUNCTION("IMPORTRANGE(""https://docs.google.com/spreadsheets/d/1IYY_tgx_IHuhSq3AJ5eI5OnqOPBNLWSHKh2a30DoXe8/edit?usp=sharing"",""ภูเก็ต!J569"")"),0)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3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IFERROR(__xludf.DUMMYFUNCTION("IMPORTRANGE(""https://docs.google.com/spreadsheets/d/1IYY_tgx_IHuhSq3AJ5eI5OnqOPBNLWSHKh2a30DoXe8/edit?usp=sharing"",""ภูเก็ต!J570"")"),0)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3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IFERROR(__xludf.DUMMYFUNCTION("IMPORTRANGE(""https://docs.google.com/spreadsheets/d/1IYY_tgx_IHuhSq3AJ5eI5OnqOPBNLWSHKh2a30DoXe8/edit?usp=sharing"",""ภูเก็ต!J571"")"),0)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3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IFERROR(__xludf.DUMMYFUNCTION("IMPORTRANGE(""https://docs.google.com/spreadsheets/d/1IYY_tgx_IHuhSq3AJ5eI5OnqOPBNLWSHKh2a30DoXe8/edit?usp=sharing"",""ภูเก็ต!J572"")"),0)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2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2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2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2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2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2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2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2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2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2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2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2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2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2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2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2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2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2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2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2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2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2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2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2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2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2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2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2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2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2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2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2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2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2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2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2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2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2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2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2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2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2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2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2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2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2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2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2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2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2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2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2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2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2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2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2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2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2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2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2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2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2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2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2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2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2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2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2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2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2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2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2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2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2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2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2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2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2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2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2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2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2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2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2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2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2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2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2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2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2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2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2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2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2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2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2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2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2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2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2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2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2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2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2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2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2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2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2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2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2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2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2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2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2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2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2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2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2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2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2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2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2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2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2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2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2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2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2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2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2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2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2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2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2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2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2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2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2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2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2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2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2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2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2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2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2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2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2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2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2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2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2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2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2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2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2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2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2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2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2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2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2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2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2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2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2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2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2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2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2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2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2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2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2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2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2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2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2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2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2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2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2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2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2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2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2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2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2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2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2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2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2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2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2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2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2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2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2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2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2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2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2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2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2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2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2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2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2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2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2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2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2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2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2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2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2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2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2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2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2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2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2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2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2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2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2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2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2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2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2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2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2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2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2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2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2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2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2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2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2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2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2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2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2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2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2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2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2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2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2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2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2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2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2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2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2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2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2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2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2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2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2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2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2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2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2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2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2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2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2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2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2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2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2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2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2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2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2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2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2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2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2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2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2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2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2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2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2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2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2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2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2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2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2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2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2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2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2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2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2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2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2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2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2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2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2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2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2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2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2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2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2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2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2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2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2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2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2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2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2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2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2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2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2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2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2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2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2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2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2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2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2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2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2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2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2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2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2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2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2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2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2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2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2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2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2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2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2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2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2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2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2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2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2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2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2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2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2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2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2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2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2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2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2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2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2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2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2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2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2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2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2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2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2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2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2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2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2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2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2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2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2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2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2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2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2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2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2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2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2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2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2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2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2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2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2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2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2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2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2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2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2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2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2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2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2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2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2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2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2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2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2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2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2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2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2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2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2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2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2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2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2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2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2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2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2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2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2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2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2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2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2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2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2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2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2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2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2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2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2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2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2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2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2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2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2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2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2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2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2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2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2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2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2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2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2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2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2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2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2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2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2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2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2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2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2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0">
    <mergeCell ref="D290:G290"/>
    <mergeCell ref="D293:F293"/>
    <mergeCell ref="D297:E297"/>
    <mergeCell ref="D310:G310"/>
    <mergeCell ref="D313:F313"/>
    <mergeCell ref="D317:E317"/>
    <mergeCell ref="D329:G329"/>
    <mergeCell ref="F648:G648"/>
    <mergeCell ref="F649:G649"/>
    <mergeCell ref="F650:G650"/>
    <mergeCell ref="F651:G651"/>
    <mergeCell ref="F661:G661"/>
    <mergeCell ref="F664:G664"/>
    <mergeCell ref="F671:G671"/>
    <mergeCell ref="D332:F332"/>
    <mergeCell ref="D336:E336"/>
    <mergeCell ref="B636:G636"/>
    <mergeCell ref="D637:F637"/>
    <mergeCell ref="D645:G645"/>
    <mergeCell ref="E646:G646"/>
    <mergeCell ref="E647:G647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223:F223"/>
    <mergeCell ref="D227:E227"/>
    <mergeCell ref="D278:E278"/>
    <mergeCell ref="D250:G250"/>
    <mergeCell ref="D253:F253"/>
    <mergeCell ref="D257:E257"/>
    <mergeCell ref="D271:G271"/>
    <mergeCell ref="D274:F274"/>
  </mergeCells>
  <printOptions horizontalCentered="1"/>
  <pageMargins left="0.23622047244094491" right="0.27559055118110237" top="0.19685039370078741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32" max="16383" man="1"/>
    <brk id="626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86" t="s">
        <v>0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  <c r="N1" s="586"/>
      <c r="O1" s="586"/>
      <c r="P1" s="586"/>
    </row>
    <row r="2" spans="1:16" ht="18" customHeight="1" x14ac:dyDescent="0.25">
      <c r="A2" s="586" t="s">
        <v>280</v>
      </c>
      <c r="B2" s="586"/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86"/>
      <c r="P2" s="586"/>
    </row>
    <row r="3" spans="1:16" ht="18" customHeight="1" x14ac:dyDescent="0.25">
      <c r="A3" s="586" t="s">
        <v>290</v>
      </c>
      <c r="B3" s="586"/>
      <c r="C3" s="586"/>
      <c r="D3" s="586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  <c r="P3" s="586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2" t="s">
        <v>2</v>
      </c>
      <c r="B5" s="593"/>
      <c r="C5" s="593"/>
      <c r="D5" s="593"/>
      <c r="E5" s="593"/>
      <c r="F5" s="593"/>
      <c r="G5" s="594"/>
      <c r="H5" s="587" t="s">
        <v>3</v>
      </c>
      <c r="I5" s="589" t="s">
        <v>4</v>
      </c>
      <c r="J5" s="580"/>
      <c r="K5" s="581"/>
      <c r="L5" s="590" t="s">
        <v>5</v>
      </c>
      <c r="M5" s="581"/>
      <c r="N5" s="591" t="s">
        <v>6</v>
      </c>
      <c r="O5" s="580"/>
      <c r="P5" s="581"/>
    </row>
    <row r="6" spans="1:16" ht="21.75" customHeight="1" x14ac:dyDescent="0.25">
      <c r="A6" s="595"/>
      <c r="B6" s="596"/>
      <c r="C6" s="596"/>
      <c r="D6" s="596"/>
      <c r="E6" s="596"/>
      <c r="F6" s="596"/>
      <c r="G6" s="597"/>
      <c r="H6" s="58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5" t="s">
        <v>15</v>
      </c>
      <c r="B7" s="580"/>
      <c r="C7" s="580"/>
      <c r="D7" s="580"/>
      <c r="E7" s="580"/>
      <c r="F7" s="580"/>
      <c r="G7" s="58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4" t="s">
        <v>17</v>
      </c>
      <c r="E8" s="573"/>
      <c r="F8" s="573"/>
      <c r="G8" s="573"/>
      <c r="H8" s="20" t="s">
        <v>12</v>
      </c>
      <c r="I8" s="21"/>
      <c r="J8" s="21"/>
      <c r="K8" s="22"/>
      <c r="L8" s="23">
        <f t="shared" ref="L8:N8" ca="1" si="0">L9+L10</f>
        <v>2585832.2800000003</v>
      </c>
      <c r="M8" s="23">
        <f t="shared" ca="1" si="0"/>
        <v>2016915.28</v>
      </c>
      <c r="N8" s="23">
        <f t="shared" ca="1" si="0"/>
        <v>2333469.29</v>
      </c>
      <c r="O8" s="22">
        <f t="shared" ref="O8:O16" ca="1" si="1">IF(L8&gt;0,N8*100/L8,0)</f>
        <v>90.240550713521131</v>
      </c>
      <c r="P8" s="22">
        <f t="shared" ref="P8:P16" ca="1" si="2">IF(M8&gt;0,N8*100/M8,0)</f>
        <v>115.69495819378194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2585832.2800000003</v>
      </c>
      <c r="M10" s="30">
        <f t="shared" ca="1" si="4"/>
        <v>2016915.28</v>
      </c>
      <c r="N10" s="30">
        <f t="shared" ca="1" si="4"/>
        <v>2333469.29</v>
      </c>
      <c r="O10" s="29">
        <f t="shared" ca="1" si="1"/>
        <v>90.240550713521131</v>
      </c>
      <c r="P10" s="29">
        <f t="shared" ca="1" si="2"/>
        <v>115.69495819378194</v>
      </c>
    </row>
    <row r="11" spans="1:16" ht="21.75" customHeight="1" x14ac:dyDescent="0.3">
      <c r="A11" s="31"/>
      <c r="B11" s="32"/>
      <c r="C11" s="33" t="s">
        <v>16</v>
      </c>
      <c r="D11" s="574" t="s">
        <v>20</v>
      </c>
      <c r="E11" s="575"/>
      <c r="F11" s="57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2390832.2800000003</v>
      </c>
      <c r="M12" s="38">
        <f t="shared" ca="1" si="6"/>
        <v>1821915.28</v>
      </c>
      <c r="N12" s="38">
        <f t="shared" ca="1" si="6"/>
        <v>2138469.29</v>
      </c>
      <c r="O12" s="38">
        <f t="shared" ca="1" si="1"/>
        <v>89.444554847653293</v>
      </c>
      <c r="P12" s="38">
        <f t="shared" ca="1" si="2"/>
        <v>117.37479308038955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1456940.28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933892</v>
      </c>
      <c r="M14" s="38">
        <f t="shared" si="8"/>
        <v>0</v>
      </c>
      <c r="N14" s="38">
        <f t="shared" ca="1" si="8"/>
        <v>528087.94999999995</v>
      </c>
      <c r="O14" s="41">
        <f t="shared" ca="1" si="1"/>
        <v>56.547004364530366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4" t="s">
        <v>23</v>
      </c>
      <c r="E15" s="57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195000</v>
      </c>
      <c r="M16" s="38">
        <f t="shared" ca="1" si="10"/>
        <v>195000</v>
      </c>
      <c r="N16" s="38">
        <f t="shared" ca="1" si="10"/>
        <v>195000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85" t="s">
        <v>24</v>
      </c>
      <c r="B17" s="580"/>
      <c r="C17" s="580"/>
      <c r="D17" s="580"/>
      <c r="E17" s="580"/>
      <c r="F17" s="580"/>
      <c r="G17" s="58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4" t="s">
        <v>17</v>
      </c>
      <c r="E18" s="573"/>
      <c r="F18" s="573"/>
      <c r="G18" s="573"/>
      <c r="H18" s="20" t="s">
        <v>12</v>
      </c>
      <c r="I18" s="21"/>
      <c r="J18" s="21"/>
      <c r="K18" s="22"/>
      <c r="L18" s="23">
        <f t="shared" ref="L18:N18" ca="1" si="11">L19+L20</f>
        <v>1977915.28</v>
      </c>
      <c r="M18" s="23">
        <f t="shared" ca="1" si="11"/>
        <v>2016915.28</v>
      </c>
      <c r="N18" s="23">
        <f t="shared" ca="1" si="11"/>
        <v>1805381.34</v>
      </c>
      <c r="O18" s="22">
        <f t="shared" ref="O18:O20" ca="1" si="12">IF(L18&gt;0,N18*100/L18,0)</f>
        <v>91.276980275919598</v>
      </c>
      <c r="P18" s="22">
        <f t="shared" ref="P18:P26" ca="1" si="13">IF(M18&gt;0,N18*100/M18,0)</f>
        <v>89.512006671891541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1977915.28</v>
      </c>
      <c r="M20" s="30">
        <f t="shared" ca="1" si="15"/>
        <v>2016915.28</v>
      </c>
      <c r="N20" s="30">
        <f t="shared" ca="1" si="15"/>
        <v>1805381.34</v>
      </c>
      <c r="O20" s="29">
        <f t="shared" ca="1" si="12"/>
        <v>91.276980275919598</v>
      </c>
      <c r="P20" s="29">
        <f t="shared" ca="1" si="13"/>
        <v>89.512006671891541</v>
      </c>
    </row>
    <row r="21" spans="1:16" ht="21.75" customHeight="1" x14ac:dyDescent="0.3">
      <c r="A21" s="31"/>
      <c r="B21" s="32"/>
      <c r="C21" s="33" t="s">
        <v>16</v>
      </c>
      <c r="D21" s="574" t="s">
        <v>20</v>
      </c>
      <c r="E21" s="575"/>
      <c r="F21" s="575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1782915.28</v>
      </c>
      <c r="M22" s="42">
        <f t="shared" ca="1" si="18"/>
        <v>1821915.28</v>
      </c>
      <c r="N22" s="41">
        <f t="shared" ca="1" si="18"/>
        <v>1610381.34</v>
      </c>
      <c r="O22" s="41">
        <f t="shared" ca="1" si="17"/>
        <v>90.322931104163288</v>
      </c>
      <c r="P22" s="41">
        <f t="shared" ca="1" si="13"/>
        <v>88.389474399709741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1456940.28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325975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4" t="s">
        <v>23</v>
      </c>
      <c r="E25" s="575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195000</v>
      </c>
      <c r="M26" s="50">
        <f t="shared" ca="1" si="22"/>
        <v>195000</v>
      </c>
      <c r="N26" s="50">
        <f t="shared" ca="1" si="22"/>
        <v>195000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85" t="s">
        <v>25</v>
      </c>
      <c r="B27" s="580"/>
      <c r="C27" s="580"/>
      <c r="D27" s="580"/>
      <c r="E27" s="580"/>
      <c r="F27" s="580"/>
      <c r="G27" s="58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4" t="s">
        <v>17</v>
      </c>
      <c r="E28" s="573"/>
      <c r="F28" s="573"/>
      <c r="G28" s="573"/>
      <c r="H28" s="20" t="s">
        <v>12</v>
      </c>
      <c r="I28" s="21"/>
      <c r="J28" s="21"/>
      <c r="K28" s="22"/>
      <c r="L28" s="23">
        <f t="shared" ref="L28:N28" ca="1" si="23">L29+L30</f>
        <v>607917</v>
      </c>
      <c r="M28" s="23">
        <f t="shared" si="23"/>
        <v>0</v>
      </c>
      <c r="N28" s="23">
        <f t="shared" ca="1" si="23"/>
        <v>528087.94999999995</v>
      </c>
      <c r="O28" s="22">
        <f t="shared" ref="O28:O30" ca="1" si="24">IF(L28&gt;0,N28*100/L28,0)</f>
        <v>86.86842940730395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607917</v>
      </c>
      <c r="M30" s="30">
        <f t="shared" si="27"/>
        <v>0</v>
      </c>
      <c r="N30" s="30">
        <f t="shared" ca="1" si="27"/>
        <v>528087.94999999995</v>
      </c>
      <c r="O30" s="29">
        <f t="shared" ca="1" si="24"/>
        <v>86.86842940730395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4" t="s">
        <v>20</v>
      </c>
      <c r="E31" s="575"/>
      <c r="F31" s="575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607917</v>
      </c>
      <c r="M32" s="41">
        <f t="shared" si="30"/>
        <v>0</v>
      </c>
      <c r="N32" s="41">
        <f t="shared" ca="1" si="30"/>
        <v>528087.94999999995</v>
      </c>
      <c r="O32" s="41">
        <f t="shared" ca="1" si="29"/>
        <v>86.86842940730395</v>
      </c>
      <c r="P32" s="41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607917</v>
      </c>
      <c r="M34" s="41">
        <f t="shared" si="32"/>
        <v>0</v>
      </c>
      <c r="N34" s="41">
        <f t="shared" ca="1" si="32"/>
        <v>528087.94999999995</v>
      </c>
      <c r="O34" s="41">
        <f t="shared" ca="1" si="29"/>
        <v>86.86842940730395</v>
      </c>
      <c r="P34" s="41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4" t="s">
        <v>23</v>
      </c>
      <c r="E35" s="575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1977915.28</v>
      </c>
      <c r="M37" s="55">
        <f t="shared" ca="1" si="33"/>
        <v>2016915.28</v>
      </c>
      <c r="N37" s="55">
        <f t="shared" ca="1" si="33"/>
        <v>1805381.34</v>
      </c>
      <c r="O37" s="56">
        <f t="shared" ca="1" si="29"/>
        <v>91.276980275919598</v>
      </c>
      <c r="P37" s="56">
        <f t="shared" ca="1" si="25"/>
        <v>89.512006671891541</v>
      </c>
    </row>
    <row r="38" spans="1:16" ht="21.75" customHeight="1" x14ac:dyDescent="0.3">
      <c r="A38" s="579" t="s">
        <v>27</v>
      </c>
      <c r="B38" s="580"/>
      <c r="C38" s="580"/>
      <c r="D38" s="580"/>
      <c r="E38" s="580"/>
      <c r="F38" s="580"/>
      <c r="G38" s="581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82" t="s">
        <v>28</v>
      </c>
      <c r="C39" s="573"/>
      <c r="D39" s="573"/>
      <c r="E39" s="573"/>
      <c r="F39" s="573"/>
      <c r="G39" s="573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83" t="s">
        <v>17</v>
      </c>
      <c r="E41" s="575"/>
      <c r="F41" s="575"/>
      <c r="G41" s="575"/>
      <c r="H41" s="76" t="s">
        <v>12</v>
      </c>
      <c r="I41" s="77"/>
      <c r="J41" s="77"/>
      <c r="K41" s="78"/>
      <c r="L41" s="79">
        <f t="shared" ref="L41:N41" ca="1" si="34">L42+L43</f>
        <v>615100</v>
      </c>
      <c r="M41" s="79">
        <f t="shared" ca="1" si="34"/>
        <v>615100</v>
      </c>
      <c r="N41" s="79">
        <f t="shared" ca="1" si="34"/>
        <v>536192.5</v>
      </c>
      <c r="O41" s="78">
        <f t="shared" ref="O41:O43" ca="1" si="35">IF(L41&gt;0,N41*100/L41,0)</f>
        <v>87.171598114127789</v>
      </c>
      <c r="P41" s="78">
        <f t="shared" ref="P41:P43" ca="1" si="36">IF(M41&gt;0,N41*100/M41,0)</f>
        <v>87.171598114127789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615100</v>
      </c>
      <c r="M43" s="79">
        <f t="shared" ca="1" si="38"/>
        <v>615100</v>
      </c>
      <c r="N43" s="79">
        <f t="shared" ca="1" si="38"/>
        <v>536192.5</v>
      </c>
      <c r="O43" s="78">
        <f t="shared" ca="1" si="35"/>
        <v>87.171598114127789</v>
      </c>
      <c r="P43" s="78">
        <f t="shared" ca="1" si="36"/>
        <v>87.171598114127789</v>
      </c>
    </row>
    <row r="44" spans="1:16" ht="21.75" customHeight="1" x14ac:dyDescent="0.3">
      <c r="A44" s="80"/>
      <c r="B44" s="81"/>
      <c r="C44" s="82" t="s">
        <v>16</v>
      </c>
      <c r="D44" s="576" t="s">
        <v>20</v>
      </c>
      <c r="E44" s="575"/>
      <c r="F44" s="575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567100</v>
      </c>
      <c r="M45" s="91">
        <f ca="1">IFERROR(__xludf.DUMMYFUNCTION("IMPORTRANGE(""https://docs.google.com/spreadsheets/d/1Yj_ptqi66GCucihVvJfMjLAmec39IyEx_6qawtMGysU/edit?usp=sharing"",""สบก!Q90"")"),567100)</f>
        <v>567100</v>
      </c>
      <c r="N45" s="91">
        <f ca="1">IFERROR(__xludf.DUMMYFUNCTION("IMPORTRANGE(""https://docs.google.com/spreadsheets/d/1Yj_ptqi66GCucihVvJfMjLAmec39IyEx_6qawtMGysU/edit?usp=sharing"",""สบก!R90"")"),488192.5)</f>
        <v>488192.5</v>
      </c>
      <c r="O45" s="92">
        <f ca="1">IF(L45&gt;0,N45*100/L45,0)</f>
        <v>86.085787339093628</v>
      </c>
      <c r="P45" s="92">
        <f ca="1">IF(M45&gt;0,N45*100/M45,0)</f>
        <v>86.085787339093628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IFERROR(__xludf.DUMMYFUNCTION("IMPORTRANGE(""https://docs.google.com/spreadsheets/d/1Yj_ptqi66GCucihVvJfMjLAmec39IyEx_6qawtMGysU/edit?usp=sharing"",""สบก!M90"")"),567100)</f>
        <v>567100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IFERROR(__xludf.DUMMYFUNCTION("IMPORTRANGE(""https://docs.google.com/spreadsheets/d/1Yj_ptqi66GCucihVvJfMjLAmec39IyEx_6qawtMGysU/edit?usp=sharing"",""สบก!N90"")"),0)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6" t="s">
        <v>23</v>
      </c>
      <c r="E48" s="57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IFERROR(__xludf.DUMMYFUNCTION("IMPORTRANGE(""https://docs.google.com/spreadsheets/d/1Yj_ptqi66GCucihVvJfMjLAmec39IyEx_6qawtMGysU/edit?usp=sharing"",""สบก!O90"")"),48000)</f>
        <v>48000</v>
      </c>
      <c r="M49" s="101">
        <f ca="1">L49</f>
        <v>48000</v>
      </c>
      <c r="N49" s="91">
        <f ca="1">IFERROR(__xludf.DUMMYFUNCTION("IMPORTRANGE(""https://docs.google.com/spreadsheets/d/1Yj_ptqi66GCucihVvJfMjLAmec39IyEx_6qawtMGysU/edit?usp=sharing"",""สบก!S90"")"),48000)</f>
        <v>48000</v>
      </c>
      <c r="O49" s="101">
        <f ca="1">IF(L49&gt;0,N49*100/L49,0)</f>
        <v>100</v>
      </c>
      <c r="P49" s="101">
        <f ca="1">IF(M49&gt;0,N49*100/M49,0)</f>
        <v>100</v>
      </c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577" t="s">
        <v>32</v>
      </c>
      <c r="C52" s="575"/>
      <c r="D52" s="575"/>
      <c r="E52" s="575"/>
      <c r="F52" s="575"/>
      <c r="G52" s="575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578" t="s">
        <v>17</v>
      </c>
      <c r="E53" s="575"/>
      <c r="F53" s="575"/>
      <c r="G53" s="575"/>
      <c r="H53" s="122" t="s">
        <v>12</v>
      </c>
      <c r="I53" s="123"/>
      <c r="J53" s="123"/>
      <c r="K53" s="124"/>
      <c r="L53" s="125">
        <f t="shared" ref="L53:N53" ca="1" si="39">L54+L55</f>
        <v>265840.28000000003</v>
      </c>
      <c r="M53" s="125">
        <f t="shared" ca="1" si="39"/>
        <v>265840.28000000003</v>
      </c>
      <c r="N53" s="125">
        <f t="shared" ca="1" si="39"/>
        <v>227340.28</v>
      </c>
      <c r="O53" s="124">
        <f t="shared" ref="O53:O55" ca="1" si="40">IF(L53&gt;0,N53*100/L53,0)</f>
        <v>85.517619827965859</v>
      </c>
      <c r="P53" s="124">
        <f t="shared" ref="P53:P55" ca="1" si="41">IF(M53&gt;0,N53*100/M53,0)</f>
        <v>85.517619827965859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265840.28000000003</v>
      </c>
      <c r="M55" s="125">
        <f t="shared" ca="1" si="43"/>
        <v>265840.28000000003</v>
      </c>
      <c r="N55" s="125">
        <f t="shared" ca="1" si="43"/>
        <v>227340.28</v>
      </c>
      <c r="O55" s="124">
        <f t="shared" ca="1" si="40"/>
        <v>85.517619827965859</v>
      </c>
      <c r="P55" s="124">
        <f t="shared" ca="1" si="41"/>
        <v>85.517619827965859</v>
      </c>
    </row>
    <row r="56" spans="1:16" ht="21.75" customHeight="1" x14ac:dyDescent="0.3">
      <c r="A56" s="80"/>
      <c r="B56" s="81"/>
      <c r="C56" s="82" t="s">
        <v>16</v>
      </c>
      <c r="D56" s="576" t="s">
        <v>20</v>
      </c>
      <c r="E56" s="575"/>
      <c r="F56" s="575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265840.28000000003</v>
      </c>
      <c r="M57" s="91">
        <f ca="1">IFERROR(__xludf.DUMMYFUNCTION("IMPORTRANGE(""https://docs.google.com/spreadsheets/d/1Yj_ptqi66GCucihVvJfMjLAmec39IyEx_6qawtMGysU/edit?usp=sharing"",""สบก!Z90"")"),265840.28)</f>
        <v>265840.28000000003</v>
      </c>
      <c r="N57" s="91">
        <f ca="1">IFERROR(__xludf.DUMMYFUNCTION("IMPORTRANGE(""https://docs.google.com/spreadsheets/d/1Yj_ptqi66GCucihVvJfMjLAmec39IyEx_6qawtMGysU/edit?usp=sharing"",""สบก!AA90"")"),227340.28)</f>
        <v>227340.28</v>
      </c>
      <c r="O57" s="92">
        <f ca="1">IF(L57&gt;0,N57*100/L57,0)</f>
        <v>85.517619827965859</v>
      </c>
      <c r="P57" s="92">
        <f ca="1">IF(M57&gt;0,N57*100/M57,0)</f>
        <v>85.517619827965859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IFERROR(__xludf.DUMMYFUNCTION("IMPORTRANGE(""https://docs.google.com/spreadsheets/d/1Yj_ptqi66GCucihVvJfMjLAmec39IyEx_6qawtMGysU/edit?usp=sharing"",""สบก!V90"")"),265840.28)</f>
        <v>265840.28000000003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IFERROR(__xludf.DUMMYFUNCTION("IMPORTRANGE(""https://docs.google.com/spreadsheets/d/1Yj_ptqi66GCucihVvJfMjLAmec39IyEx_6qawtMGysU/edit?usp=sharing"",""สบก!W90"")"),0)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6" t="s">
        <v>23</v>
      </c>
      <c r="E60" s="57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IFERROR(__xludf.DUMMYFUNCTION("IMPORTRANGE(""https://docs.google.com/spreadsheets/d/1Yj_ptqi66GCucihVvJfMjLAmec39IyEx_6qawtMGysU/edit?usp=sharing"",""สบก!X90"")"),0)</f>
        <v>0</v>
      </c>
      <c r="M61" s="101"/>
      <c r="N61" s="91">
        <f ca="1">IFERROR(__xludf.DUMMYFUNCTION("IMPORTRANGE(""https://docs.google.com/spreadsheets/d/1Yj_ptqi66GCucihVvJfMjLAmec39IyEx_6qawtMGysU/edit?usp=sharing"",""สบก!AB90"")"),0)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IFERROR(__xludf.DUMMYFUNCTION("IMPORTRANGE(""https://docs.google.com/spreadsheets/d/1IYY_tgx_IHuhSq3AJ5eI5OnqOPBNLWSHKh2a30DoXe8/edit?usp=sharing"",""ยะลา!I9"")"),0)</f>
        <v>0</v>
      </c>
      <c r="J64" s="146">
        <f ca="1">IFERROR(__xludf.DUMMYFUNCTION("IMPORTRANGE(""https://docs.google.com/spreadsheets/d/1IYY_tgx_IHuhSq3AJ5eI5OnqOPBNLWSHKh2a30DoXe8/edit?usp=sharing"",""ยะลา!J9"")"),0)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IFERROR(__xludf.DUMMYFUNCTION("IMPORTRANGE(""https://docs.google.com/spreadsheets/d/1IYY_tgx_IHuhSq3AJ5eI5OnqOPBNLWSHKh2a30DoXe8/edit?usp=sharing"",""ยะลา!I10"")"),0)</f>
        <v>0</v>
      </c>
      <c r="J65" s="146">
        <f ca="1">IFERROR(__xludf.DUMMYFUNCTION("IMPORTRANGE(""https://docs.google.com/spreadsheets/d/1IYY_tgx_IHuhSq3AJ5eI5OnqOPBNLWSHKh2a30DoXe8/edit?usp=sharing"",""ยะลา!J10"")"),0)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2" t="s">
        <v>17</v>
      </c>
      <c r="E66" s="573"/>
      <c r="F66" s="573"/>
      <c r="G66" s="573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3">
      <c r="A69" s="162"/>
      <c r="B69" s="163"/>
      <c r="C69" s="163" t="s">
        <v>16</v>
      </c>
      <c r="D69" s="574" t="s">
        <v>20</v>
      </c>
      <c r="E69" s="575"/>
      <c r="F69" s="575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IFERROR(__xludf.DUMMYFUNCTION("IMPORTRANGE(""https://docs.google.com/spreadsheets/d/1Yj_ptqi66GCucihVvJfMjLAmec39IyEx_6qawtMGysU/edit?usp=sharing"",""สบก!AI90"")"),0)</f>
        <v>0</v>
      </c>
      <c r="N70" s="174">
        <f ca="1">IFERROR(__xludf.DUMMYFUNCTION("IMPORTRANGE(""https://docs.google.com/spreadsheets/d/1Yj_ptqi66GCucihVvJfMjLAmec39IyEx_6qawtMGysU/edit?usp=sharing"",""สบก!AJ90"")"),0)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IFERROR(__xludf.DUMMYFUNCTION("IMPORTRANGE(""https://docs.google.com/spreadsheets/d/1Yj_ptqi66GCucihVvJfMjLAmec39IyEx_6qawtMGysU/edit?usp=sharing"",""สบก!AE90"")"),0)</f>
        <v>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IFERROR(__xludf.DUMMYFUNCTION("IMPORTRANGE(""https://docs.google.com/spreadsheets/d/1Yj_ptqi66GCucihVvJfMjLAmec39IyEx_6qawtMGysU/edit?usp=sharing"",""สบก!AF90"")"),0)</f>
        <v>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6" t="s">
        <v>23</v>
      </c>
      <c r="E73" s="575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IFERROR(__xludf.DUMMYFUNCTION("IMPORTRANGE(""https://docs.google.com/spreadsheets/d/1Yj_ptqi66GCucihVvJfMjLAmec39IyEx_6qawtMGysU/edit?usp=sharing"",""สบก!AG90"")"),0)</f>
        <v>0</v>
      </c>
      <c r="M74" s="101"/>
      <c r="N74" s="91">
        <f ca="1">IFERROR(__xludf.DUMMYFUNCTION("IMPORTRANGE(""https://docs.google.com/spreadsheets/d/1Yj_ptqi66GCucihVvJfMjLAmec39IyEx_6qawtMGysU/edit?usp=sharing"",""สบก!AK90"")"),0)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IFERROR(__xludf.DUMMYFUNCTION("IMPORTRANGE(""https://docs.google.com/spreadsheets/d/1IYY_tgx_IHuhSq3AJ5eI5OnqOPBNLWSHKh2a30DoXe8/edit?usp=sharing"",""ยะลา!J16"")"),0)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IFERROR(__xludf.DUMMYFUNCTION("IMPORTRANGE(""https://docs.google.com/spreadsheets/d/1IYY_tgx_IHuhSq3AJ5eI5OnqOPBNLWSHKh2a30DoXe8/edit?usp=sharing"",""ยะลา!J17"")"),0)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IFERROR(__xludf.DUMMYFUNCTION("IMPORTRANGE(""https://docs.google.com/spreadsheets/d/1IYY_tgx_IHuhSq3AJ5eI5OnqOPBNLWSHKh2a30DoXe8/edit?usp=sharing"",""ยะลา!J18"")"),0)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IFERROR(__xludf.DUMMYFUNCTION("IMPORTRANGE(""https://docs.google.com/spreadsheets/d/1IYY_tgx_IHuhSq3AJ5eI5OnqOPBNLWSHKh2a30DoXe8/edit?usp=sharing"",""ยะลา!J19"")"),0)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IFERROR(__xludf.DUMMYFUNCTION("IMPORTRANGE(""https://docs.google.com/spreadsheets/d/1IYY_tgx_IHuhSq3AJ5eI5OnqOPBNLWSHKh2a30DoXe8/edit?usp=sharing"",""ยะลา!I20"")"),0)</f>
        <v>0</v>
      </c>
      <c r="J80" s="207">
        <f ca="1">IFERROR(__xludf.DUMMYFUNCTION("IMPORTRANGE(""https://docs.google.com/spreadsheets/d/1IYY_tgx_IHuhSq3AJ5eI5OnqOPBNLWSHKh2a30DoXe8/edit?usp=sharing"",""ยะลา!J20"")"),0)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IFERROR(__xludf.DUMMYFUNCTION("IMPORTRANGE(""https://docs.google.com/spreadsheets/d/1IYY_tgx_IHuhSq3AJ5eI5OnqOPBNLWSHKh2a30DoXe8/edit?usp=sharing"",""ยะลา!I21"")"),0)</f>
        <v>0</v>
      </c>
      <c r="J81" s="207">
        <f ca="1">IFERROR(__xludf.DUMMYFUNCTION("IMPORTRANGE(""https://docs.google.com/spreadsheets/d/1IYY_tgx_IHuhSq3AJ5eI5OnqOPBNLWSHKh2a30DoXe8/edit?usp=sharing"",""ยะลา!J21"")"),0)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IFERROR(__xludf.DUMMYFUNCTION("IMPORTRANGE(""https://docs.google.com/spreadsheets/d/1IYY_tgx_IHuhSq3AJ5eI5OnqOPBNLWSHKh2a30DoXe8/edit?usp=sharing"",""ยะลา!I22"")"),0)</f>
        <v>0</v>
      </c>
      <c r="J82" s="210">
        <f ca="1">IFERROR(__xludf.DUMMYFUNCTION("IMPORTRANGE(""https://docs.google.com/spreadsheets/d/1IYY_tgx_IHuhSq3AJ5eI5OnqOPBNLWSHKh2a30DoXe8/edit?usp=sharing"",""ยะลา!J22"")"),0)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IFERROR(__xludf.DUMMYFUNCTION("IMPORTRANGE(""https://docs.google.com/spreadsheets/d/1IYY_tgx_IHuhSq3AJ5eI5OnqOPBNLWSHKh2a30DoXe8/edit?usp=sharing"",""ยะลา!I23"")"),0)</f>
        <v>0</v>
      </c>
      <c r="J83" s="210">
        <f ca="1">IFERROR(__xludf.DUMMYFUNCTION("IMPORTRANGE(""https://docs.google.com/spreadsheets/d/1IYY_tgx_IHuhSq3AJ5eI5OnqOPBNLWSHKh2a30DoXe8/edit?usp=sharing"",""ยะลา!J23"")"),0)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IFERROR(__xludf.DUMMYFUNCTION("IMPORTRANGE(""https://docs.google.com/spreadsheets/d/1IYY_tgx_IHuhSq3AJ5eI5OnqOPBNLWSHKh2a30DoXe8/edit?usp=sharing"",""ยะลา!I24"")"),0)</f>
        <v>0</v>
      </c>
      <c r="J84" s="195">
        <f ca="1">IFERROR(__xludf.DUMMYFUNCTION("IMPORTRANGE(""https://docs.google.com/spreadsheets/d/1IYY_tgx_IHuhSq3AJ5eI5OnqOPBNLWSHKh2a30DoXe8/edit?usp=sharing"",""ยะลา!J24"")"),0)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IFERROR(__xludf.DUMMYFUNCTION("IMPORTRANGE(""https://docs.google.com/spreadsheets/d/1IYY_tgx_IHuhSq3AJ5eI5OnqOPBNLWSHKh2a30DoXe8/edit?usp=sharing"",""ยะลา!I25"")"),0)</f>
        <v>0</v>
      </c>
      <c r="J85" s="195">
        <f ca="1">IFERROR(__xludf.DUMMYFUNCTION("IMPORTRANGE(""https://docs.google.com/spreadsheets/d/1IYY_tgx_IHuhSq3AJ5eI5OnqOPBNLWSHKh2a30DoXe8/edit?usp=sharing"",""ยะลา!J25"")"),0)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IFERROR(__xludf.DUMMYFUNCTION("IMPORTRANGE(""https://docs.google.com/spreadsheets/d/1IYY_tgx_IHuhSq3AJ5eI5OnqOPBNLWSHKh2a30DoXe8/edit?usp=sharing"",""ยะลา!I26"")"),0)</f>
        <v>0</v>
      </c>
      <c r="J86" s="210">
        <f ca="1">IFERROR(__xludf.DUMMYFUNCTION("IMPORTRANGE(""https://docs.google.com/spreadsheets/d/1IYY_tgx_IHuhSq3AJ5eI5OnqOPBNLWSHKh2a30DoXe8/edit?usp=sharing"",""ยะลา!J26"")"),0)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IFERROR(__xludf.DUMMYFUNCTION("IMPORTRANGE(""https://docs.google.com/spreadsheets/d/1IYY_tgx_IHuhSq3AJ5eI5OnqOPBNLWSHKh2a30DoXe8/edit?usp=sharing"",""ยะลา!I27"")"),0)</f>
        <v>0</v>
      </c>
      <c r="J87" s="210">
        <f ca="1">IFERROR(__xludf.DUMMYFUNCTION("IMPORTRANGE(""https://docs.google.com/spreadsheets/d/1IYY_tgx_IHuhSq3AJ5eI5OnqOPBNLWSHKh2a30DoXe8/edit?usp=sharing"",""ยะลา!J27"")"),0)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IFERROR(__xludf.DUMMYFUNCTION("IMPORTRANGE(""https://docs.google.com/spreadsheets/d/1IYY_tgx_IHuhSq3AJ5eI5OnqOPBNLWSHKh2a30DoXe8/edit?usp=sharing"",""ยะลา!I28"")"),0)</f>
        <v>0</v>
      </c>
      <c r="J88" s="210">
        <f ca="1">IFERROR(__xludf.DUMMYFUNCTION("IMPORTRANGE(""https://docs.google.com/spreadsheets/d/1IYY_tgx_IHuhSq3AJ5eI5OnqOPBNLWSHKh2a30DoXe8/edit?usp=sharing"",""ยะลา!J28"")"),0)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IFERROR(__xludf.DUMMYFUNCTION("IMPORTRANGE(""https://docs.google.com/spreadsheets/d/1IYY_tgx_IHuhSq3AJ5eI5OnqOPBNLWSHKh2a30DoXe8/edit?usp=sharing"",""ยะลา!J29"")"),0)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IFERROR(__xludf.DUMMYFUNCTION("IMPORTRANGE(""https://docs.google.com/spreadsheets/d/1IYY_tgx_IHuhSq3AJ5eI5OnqOPBNLWSHKh2a30DoXe8/edit?usp=sharing"",""ยะลา!J30"")"),0)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IFERROR(__xludf.DUMMYFUNCTION("IMPORTRANGE(""https://docs.google.com/spreadsheets/d/1IYY_tgx_IHuhSq3AJ5eI5OnqOPBNLWSHKh2a30DoXe8/edit?usp=sharing"",""ยะลา!I32"")"),0)</f>
        <v>0</v>
      </c>
      <c r="J92" s="146">
        <f ca="1">IFERROR(__xludf.DUMMYFUNCTION("IMPORTRANGE(""https://docs.google.com/spreadsheets/d/1IYY_tgx_IHuhSq3AJ5eI5OnqOPBNLWSHKh2a30DoXe8/edit?usp=sharing"",""ยะลา!J32"")"),0)</f>
        <v>0</v>
      </c>
      <c r="K92" s="147">
        <f t="shared" ref="K92:K93" ca="1" si="51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IFERROR(__xludf.DUMMYFUNCTION("IMPORTRANGE(""https://docs.google.com/spreadsheets/d/1IYY_tgx_IHuhSq3AJ5eI5OnqOPBNLWSHKh2a30DoXe8/edit?usp=sharing"",""ยะลา!I33"")"),0)</f>
        <v>0</v>
      </c>
      <c r="J93" s="146">
        <f ca="1">IFERROR(__xludf.DUMMYFUNCTION("IMPORTRANGE(""https://docs.google.com/spreadsheets/d/1IYY_tgx_IHuhSq3AJ5eI5OnqOPBNLWSHKh2a30DoXe8/edit?usp=sharing"",""ยะลา!J33"")"),0)</f>
        <v>0</v>
      </c>
      <c r="K93" s="147">
        <f t="shared" ca="1" si="51"/>
        <v>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2" t="s">
        <v>17</v>
      </c>
      <c r="E94" s="573"/>
      <c r="F94" s="573"/>
      <c r="G94" s="573"/>
      <c r="H94" s="153" t="s">
        <v>12</v>
      </c>
      <c r="I94" s="166"/>
      <c r="J94" s="166"/>
      <c r="K94" s="167"/>
      <c r="L94" s="156">
        <f t="shared" ref="L94:N94" ca="1" si="52">L95+L96</f>
        <v>0</v>
      </c>
      <c r="M94" s="156">
        <f t="shared" ca="1" si="52"/>
        <v>0</v>
      </c>
      <c r="N94" s="156">
        <f t="shared" ca="1" si="52"/>
        <v>0</v>
      </c>
      <c r="O94" s="155">
        <f t="shared" ref="O94:O96" ca="1" si="53">IF(L94&gt;0,N94*100/L94,0)</f>
        <v>0</v>
      </c>
      <c r="P94" s="155">
        <f t="shared" ref="P94:P96" ca="1" si="54">IF(M94&gt;0,N94*100/M94,0)</f>
        <v>0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0</v>
      </c>
      <c r="M96" s="161">
        <f t="shared" ca="1" si="56"/>
        <v>0</v>
      </c>
      <c r="N96" s="161">
        <f t="shared" ca="1" si="56"/>
        <v>0</v>
      </c>
      <c r="O96" s="160">
        <f t="shared" ca="1" si="53"/>
        <v>0</v>
      </c>
      <c r="P96" s="160">
        <f t="shared" ca="1" si="54"/>
        <v>0</v>
      </c>
    </row>
    <row r="97" spans="1:16" ht="21.75" customHeight="1" x14ac:dyDescent="0.3">
      <c r="A97" s="162"/>
      <c r="B97" s="163"/>
      <c r="C97" s="163" t="s">
        <v>16</v>
      </c>
      <c r="D97" s="574" t="s">
        <v>20</v>
      </c>
      <c r="E97" s="575"/>
      <c r="F97" s="575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0</v>
      </c>
      <c r="M98" s="173">
        <f ca="1">IFERROR(__xludf.DUMMYFUNCTION("IMPORTRANGE(""https://docs.google.com/spreadsheets/d/1Yj_ptqi66GCucihVvJfMjLAmec39IyEx_6qawtMGysU/edit?usp=sharing"",""สบก!AR90"")"),0)</f>
        <v>0</v>
      </c>
      <c r="N98" s="174">
        <f ca="1">IFERROR(__xludf.DUMMYFUNCTION("IMPORTRANGE(""https://docs.google.com/spreadsheets/d/1Yj_ptqi66GCucihVvJfMjLAmec39IyEx_6qawtMGysU/edit?usp=sharing"",""สบก!AS90"")"),0)</f>
        <v>0</v>
      </c>
      <c r="O98" s="175">
        <f ca="1">IF(L98&gt;0,N98*100/L98,0)</f>
        <v>0</v>
      </c>
      <c r="P98" s="175">
        <f ca="1">IF(M98&gt;0,N98*100/M98,0)</f>
        <v>0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IFERROR(__xludf.DUMMYFUNCTION("IMPORTRANGE(""https://docs.google.com/spreadsheets/d/1Yj_ptqi66GCucihVvJfMjLAmec39IyEx_6qawtMGysU/edit?usp=sharing"",""สบก!AN90"")"),0)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IFERROR(__xludf.DUMMYFUNCTION("IMPORTRANGE(""https://docs.google.com/spreadsheets/d/1Yj_ptqi66GCucihVvJfMjLAmec39IyEx_6qawtMGysU/edit?usp=sharing"",""สบก!AO90"")"),0)</f>
        <v>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6" t="s">
        <v>23</v>
      </c>
      <c r="E101" s="575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IFERROR(__xludf.DUMMYFUNCTION("IMPORTRANGE(""https://docs.google.com/spreadsheets/d/1Yj_ptqi66GCucihVvJfMjLAmec39IyEx_6qawtMGysU/edit?usp=sharing"",""สบก!AP90"")"),0)</f>
        <v>0</v>
      </c>
      <c r="M102" s="101"/>
      <c r="N102" s="91">
        <f ca="1">IFERROR(__xludf.DUMMYFUNCTION("IMPORTRANGE(""https://docs.google.com/spreadsheets/d/1Yj_ptqi66GCucihVvJfMjLAmec39IyEx_6qawtMGysU/edit?usp=sharing"",""สบก!AT90"")"),0)</f>
        <v>0</v>
      </c>
      <c r="O102" s="101">
        <f ca="1">IF(L102&gt;0,N102*100/L102,0)</f>
        <v>0</v>
      </c>
      <c r="P102" s="101"/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IFERROR(__xludf.DUMMYFUNCTION("IMPORTRANGE(""https://docs.google.com/spreadsheets/d/1IYY_tgx_IHuhSq3AJ5eI5OnqOPBNLWSHKh2a30DoXe8/edit?usp=sharing"",""ยะลา!J39"")"),0)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IFERROR(__xludf.DUMMYFUNCTION("IMPORTRANGE(""https://docs.google.com/spreadsheets/d/1IYY_tgx_IHuhSq3AJ5eI5OnqOPBNLWSHKh2a30DoXe8/edit?usp=sharing"",""ยะลา!J40"")"),0)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IFERROR(__xludf.DUMMYFUNCTION("IMPORTRANGE(""https://docs.google.com/spreadsheets/d/1IYY_tgx_IHuhSq3AJ5eI5OnqOPBNLWSHKh2a30DoXe8/edit?usp=sharing"",""ยะลา!J41"")"),0)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IFERROR(__xludf.DUMMYFUNCTION("IMPORTRANGE(""https://docs.google.com/spreadsheets/d/1IYY_tgx_IHuhSq3AJ5eI5OnqOPBNLWSHKh2a30DoXe8/edit?usp=sharing"",""ยะลา!J42"")"),0)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IFERROR(__xludf.DUMMYFUNCTION("IMPORTRANGE(""https://docs.google.com/spreadsheets/d/1IYY_tgx_IHuhSq3AJ5eI5OnqOPBNLWSHKh2a30DoXe8/edit?usp=sharing"",""ยะลา!I43"")"),0)</f>
        <v>0</v>
      </c>
      <c r="J108" s="210">
        <f ca="1">IFERROR(__xludf.DUMMYFUNCTION("IMPORTRANGE(""https://docs.google.com/spreadsheets/d/1IYY_tgx_IHuhSq3AJ5eI5OnqOPBNLWSHKh2a30DoXe8/edit?usp=sharing"",""ยะลา!J43"")"),0)</f>
        <v>0</v>
      </c>
      <c r="K108" s="230">
        <f t="shared" ref="K108:K113" ca="1" si="57">IF(I108&gt;0,J108*100/I108,0)</f>
        <v>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IFERROR(__xludf.DUMMYFUNCTION("IMPORTRANGE(""https://docs.google.com/spreadsheets/d/1IYY_tgx_IHuhSq3AJ5eI5OnqOPBNLWSHKh2a30DoXe8/edit?usp=sharing"",""ยะลา!I44"")"),0)</f>
        <v>0</v>
      </c>
      <c r="J109" s="210">
        <f ca="1">IFERROR(__xludf.DUMMYFUNCTION("IMPORTRANGE(""https://docs.google.com/spreadsheets/d/1IYY_tgx_IHuhSq3AJ5eI5OnqOPBNLWSHKh2a30DoXe8/edit?usp=sharing"",""ยะลา!J44"")"),0)</f>
        <v>0</v>
      </c>
      <c r="K109" s="230">
        <f t="shared" ca="1" si="57"/>
        <v>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IFERROR(__xludf.DUMMYFUNCTION("IMPORTRANGE(""https://docs.google.com/spreadsheets/d/1IYY_tgx_IHuhSq3AJ5eI5OnqOPBNLWSHKh2a30DoXe8/edit?usp=sharing"",""ยะลา!I45"")"),0)</f>
        <v>0</v>
      </c>
      <c r="J110" s="210">
        <f ca="1">IFERROR(__xludf.DUMMYFUNCTION("IMPORTRANGE(""https://docs.google.com/spreadsheets/d/1IYY_tgx_IHuhSq3AJ5eI5OnqOPBNLWSHKh2a30DoXe8/edit?usp=sharing"",""ยะลา!J45"")"),0)</f>
        <v>0</v>
      </c>
      <c r="K110" s="230">
        <f t="shared" ca="1" si="57"/>
        <v>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IFERROR(__xludf.DUMMYFUNCTION("IMPORTRANGE(""https://docs.google.com/spreadsheets/d/1IYY_tgx_IHuhSq3AJ5eI5OnqOPBNLWSHKh2a30DoXe8/edit?usp=sharing"",""ยะลา!I46"")"),0)</f>
        <v>0</v>
      </c>
      <c r="J111" s="210">
        <f ca="1">IFERROR(__xludf.DUMMYFUNCTION("IMPORTRANGE(""https://docs.google.com/spreadsheets/d/1IYY_tgx_IHuhSq3AJ5eI5OnqOPBNLWSHKh2a30DoXe8/edit?usp=sharing"",""ยะลา!J46"")"),0)</f>
        <v>0</v>
      </c>
      <c r="K111" s="230">
        <f t="shared" ca="1" si="57"/>
        <v>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IFERROR(__xludf.DUMMYFUNCTION("IMPORTRANGE(""https://docs.google.com/spreadsheets/d/1IYY_tgx_IHuhSq3AJ5eI5OnqOPBNLWSHKh2a30DoXe8/edit?usp=sharing"",""ยะลา!I47"")"),0)</f>
        <v>0</v>
      </c>
      <c r="J112" s="210">
        <f ca="1">IFERROR(__xludf.DUMMYFUNCTION("IMPORTRANGE(""https://docs.google.com/spreadsheets/d/1IYY_tgx_IHuhSq3AJ5eI5OnqOPBNLWSHKh2a30DoXe8/edit?usp=sharing"",""ยะลา!J47"")"),0)</f>
        <v>0</v>
      </c>
      <c r="K112" s="230">
        <f t="shared" ca="1" si="57"/>
        <v>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IFERROR(__xludf.DUMMYFUNCTION("IMPORTRANGE(""https://docs.google.com/spreadsheets/d/1IYY_tgx_IHuhSq3AJ5eI5OnqOPBNLWSHKh2a30DoXe8/edit?usp=sharing"",""ยะลา!I48"")"),0)</f>
        <v>0</v>
      </c>
      <c r="J113" s="210">
        <f ca="1">IFERROR(__xludf.DUMMYFUNCTION("IMPORTRANGE(""https://docs.google.com/spreadsheets/d/1IYY_tgx_IHuhSq3AJ5eI5OnqOPBNLWSHKh2a30DoXe8/edit?usp=sharing"",""ยะลา!J48"")"),0)</f>
        <v>0</v>
      </c>
      <c r="K113" s="230">
        <f t="shared" ca="1" si="57"/>
        <v>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IFERROR(__xludf.DUMMYFUNCTION("IMPORTRANGE(""https://docs.google.com/spreadsheets/d/1IYY_tgx_IHuhSq3AJ5eI5OnqOPBNLWSHKh2a30DoXe8/edit?usp=sharing"",""ยะลา!J49"")"),0)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IFERROR(__xludf.DUMMYFUNCTION("IMPORTRANGE(""https://docs.google.com/spreadsheets/d/1IYY_tgx_IHuhSq3AJ5eI5OnqOPBNLWSHKh2a30DoXe8/edit?usp=sharing"",""ยะลา!J50"")"),0)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IFERROR(__xludf.DUMMYFUNCTION("IMPORTRANGE(""https://docs.google.com/spreadsheets/d/1IYY_tgx_IHuhSq3AJ5eI5OnqOPBNLWSHKh2a30DoXe8/edit?usp=sharing"",""ยะลา!I52"")"),0)</f>
        <v>0</v>
      </c>
      <c r="J117" s="146">
        <f ca="1">IFERROR(__xludf.DUMMYFUNCTION("IMPORTRANGE(""https://docs.google.com/spreadsheets/d/1IYY_tgx_IHuhSq3AJ5eI5OnqOPBNLWSHKh2a30DoXe8/edit?usp=sharing"",""ยะลา!J52"")"),0)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2" t="s">
        <v>17</v>
      </c>
      <c r="E118" s="573"/>
      <c r="F118" s="573"/>
      <c r="G118" s="573"/>
      <c r="H118" s="153" t="s">
        <v>12</v>
      </c>
      <c r="I118" s="166"/>
      <c r="J118" s="166"/>
      <c r="K118" s="167"/>
      <c r="L118" s="156">
        <f t="shared" ref="L118:N118" ca="1" si="58">L119+L120</f>
        <v>0</v>
      </c>
      <c r="M118" s="156">
        <f t="shared" ca="1" si="58"/>
        <v>0</v>
      </c>
      <c r="N118" s="156">
        <f t="shared" ca="1" si="58"/>
        <v>0</v>
      </c>
      <c r="O118" s="155">
        <f t="shared" ref="O118:O120" ca="1" si="59">IF(L118&gt;0,N118*100/L118,0)</f>
        <v>0</v>
      </c>
      <c r="P118" s="155">
        <f t="shared" ref="P118:P120" ca="1" si="60">IF(M118&gt;0,N118*100/M118,0)</f>
        <v>0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0</v>
      </c>
      <c r="M120" s="161">
        <f t="shared" ca="1" si="62"/>
        <v>0</v>
      </c>
      <c r="N120" s="161">
        <f t="shared" ca="1" si="62"/>
        <v>0</v>
      </c>
      <c r="O120" s="160">
        <f t="shared" ca="1" si="59"/>
        <v>0</v>
      </c>
      <c r="P120" s="160">
        <f t="shared" ca="1" si="60"/>
        <v>0</v>
      </c>
    </row>
    <row r="121" spans="1:16" ht="21.75" customHeight="1" x14ac:dyDescent="0.3">
      <c r="A121" s="162"/>
      <c r="B121" s="163"/>
      <c r="C121" s="163" t="s">
        <v>16</v>
      </c>
      <c r="D121" s="574" t="s">
        <v>20</v>
      </c>
      <c r="E121" s="575"/>
      <c r="F121" s="575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0</v>
      </c>
      <c r="M122" s="173">
        <f ca="1">IFERROR(__xludf.DUMMYFUNCTION("IMPORTRANGE(""https://docs.google.com/spreadsheets/d/1Yj_ptqi66GCucihVvJfMjLAmec39IyEx_6qawtMGysU/edit?usp=sharing"",""สบก!BA90"")"),0)</f>
        <v>0</v>
      </c>
      <c r="N122" s="174">
        <f ca="1">IFERROR(__xludf.DUMMYFUNCTION("IMPORTRANGE(""https://docs.google.com/spreadsheets/d/1Yj_ptqi66GCucihVvJfMjLAmec39IyEx_6qawtMGysU/edit?usp=sharing"",""สบก!BB90"")"),0)</f>
        <v>0</v>
      </c>
      <c r="O122" s="175">
        <f ca="1">IF(L122&gt;0,N122*100/L122,0)</f>
        <v>0</v>
      </c>
      <c r="P122" s="175">
        <f ca="1">IF(M122&gt;0,N122*100/M122,0)</f>
        <v>0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IFERROR(__xludf.DUMMYFUNCTION("IMPORTRANGE(""https://docs.google.com/spreadsheets/d/1Yj_ptqi66GCucihVvJfMjLAmec39IyEx_6qawtMGysU/edit?usp=sharing"",""สบก!AW90"")"),0)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IFERROR(__xludf.DUMMYFUNCTION("IMPORTRANGE(""https://docs.google.com/spreadsheets/d/1Yj_ptqi66GCucihVvJfMjLAmec39IyEx_6qawtMGysU/edit?usp=sharing"",""สบก!AX90"")"),0)</f>
        <v>0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6" t="s">
        <v>23</v>
      </c>
      <c r="E125" s="575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IFERROR(__xludf.DUMMYFUNCTION("IMPORTRANGE(""https://docs.google.com/spreadsheets/d/1Yj_ptqi66GCucihVvJfMjLAmec39IyEx_6qawtMGysU/edit?usp=sharing"",""สบก!AY90"")"),0)</f>
        <v>0</v>
      </c>
      <c r="M126" s="101"/>
      <c r="N126" s="91">
        <f ca="1">IFERROR(__xludf.DUMMYFUNCTION("IMPORTRANGE(""https://docs.google.com/spreadsheets/d/1Yj_ptqi66GCucihVvJfMjLAmec39IyEx_6qawtMGysU/edit?usp=sharing"",""สบก!BC90"")"),0)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281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IFERROR(__xludf.DUMMYFUNCTION("IMPORTRANGE(""https://docs.google.com/spreadsheets/d/1IYY_tgx_IHuhSq3AJ5eI5OnqOPBNLWSHKh2a30DoXe8/edit?usp=sharing"",""ยะลา!J58"")"),0)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IFERROR(__xludf.DUMMYFUNCTION("IMPORTRANGE(""https://docs.google.com/spreadsheets/d/1IYY_tgx_IHuhSq3AJ5eI5OnqOPBNLWSHKh2a30DoXe8/edit?usp=sharing"",""ยะลา!J59"")"),0)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IFERROR(__xludf.DUMMYFUNCTION("IMPORTRANGE(""https://docs.google.com/spreadsheets/d/1IYY_tgx_IHuhSq3AJ5eI5OnqOPBNLWSHKh2a30DoXe8/edit?usp=sharing"",""ยะลา!J60"")"),0)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IFERROR(__xludf.DUMMYFUNCTION("IMPORTRANGE(""https://docs.google.com/spreadsheets/d/1IYY_tgx_IHuhSq3AJ5eI5OnqOPBNLWSHKh2a30DoXe8/edit?usp=sharing"",""ยะลา!J61"")"),0)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IFERROR(__xludf.DUMMYFUNCTION("IMPORTRANGE(""https://docs.google.com/spreadsheets/d/1IYY_tgx_IHuhSq3AJ5eI5OnqOPBNLWSHKh2a30DoXe8/edit?usp=sharing"",""ยะลา!I62"")"),0)</f>
        <v>0</v>
      </c>
      <c r="J132" s="210">
        <f ca="1">IFERROR(__xludf.DUMMYFUNCTION("IMPORTRANGE(""https://docs.google.com/spreadsheets/d/1IYY_tgx_IHuhSq3AJ5eI5OnqOPBNLWSHKh2a30DoXe8/edit?usp=sharing"",""ยะลา!J62"")"),0)</f>
        <v>0</v>
      </c>
      <c r="K132" s="230">
        <f t="shared" ref="K132:K133" ca="1" si="63">IF(I132&gt;0,J132*100/I132,0)</f>
        <v>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IFERROR(__xludf.DUMMYFUNCTION("IMPORTRANGE(""https://docs.google.com/spreadsheets/d/1IYY_tgx_IHuhSq3AJ5eI5OnqOPBNLWSHKh2a30DoXe8/edit?usp=sharing"",""ยะลา!I63"")"),0)</f>
        <v>0</v>
      </c>
      <c r="J133" s="210">
        <f ca="1">IFERROR(__xludf.DUMMYFUNCTION("IMPORTRANGE(""https://docs.google.com/spreadsheets/d/1IYY_tgx_IHuhSq3AJ5eI5OnqOPBNLWSHKh2a30DoXe8/edit?usp=sharing"",""ยะลา!J63"")"),0)</f>
        <v>0</v>
      </c>
      <c r="K133" s="230">
        <f t="shared" ca="1" si="63"/>
        <v>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IFERROR(__xludf.DUMMYFUNCTION("IMPORTRANGE(""https://docs.google.com/spreadsheets/d/1IYY_tgx_IHuhSq3AJ5eI5OnqOPBNLWSHKh2a30DoXe8/edit?usp=sharing"",""ยะลา!J64"")"),0)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IFERROR(__xludf.DUMMYFUNCTION("IMPORTRANGE(""https://docs.google.com/spreadsheets/d/1IYY_tgx_IHuhSq3AJ5eI5OnqOPBNLWSHKh2a30DoXe8/edit?usp=sharing"",""ยะลา!J65"")"),0)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IFERROR(__xludf.DUMMYFUNCTION("IMPORTRANGE(""https://docs.google.com/spreadsheets/d/1IYY_tgx_IHuhSq3AJ5eI5OnqOPBNLWSHKh2a30DoXe8/edit?usp=sharing"",""ยะลา!I68"")"),0)</f>
        <v>0</v>
      </c>
      <c r="J138" s="273">
        <f ca="1">IFERROR(__xludf.DUMMYFUNCTION("IMPORTRANGE(""https://docs.google.com/spreadsheets/d/1IYY_tgx_IHuhSq3AJ5eI5OnqOPBNLWSHKh2a30DoXe8/edit?usp=sharing"",""ยะลา!J68"")"),0)</f>
        <v>0</v>
      </c>
      <c r="K138" s="274">
        <f ca="1">IF(I138&gt;0,J138*100/I138,0)</f>
        <v>0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2" t="s">
        <v>17</v>
      </c>
      <c r="E140" s="573"/>
      <c r="F140" s="573"/>
      <c r="G140" s="573"/>
      <c r="H140" s="153" t="s">
        <v>12</v>
      </c>
      <c r="I140" s="166"/>
      <c r="J140" s="166"/>
      <c r="K140" s="167"/>
      <c r="L140" s="156">
        <f t="shared" ref="L140:N140" ca="1" si="64">L141+L142</f>
        <v>37300</v>
      </c>
      <c r="M140" s="156">
        <f t="shared" ca="1" si="64"/>
        <v>37300</v>
      </c>
      <c r="N140" s="156">
        <f t="shared" ca="1" si="64"/>
        <v>27480</v>
      </c>
      <c r="O140" s="155">
        <f t="shared" ref="O140:O142" ca="1" si="65">IF(L140&gt;0,N140*100/L140,0)</f>
        <v>73.672922252010721</v>
      </c>
      <c r="P140" s="155">
        <f t="shared" ref="P140:P142" ca="1" si="66">IF(M140&gt;0,N140*100/M140,0)</f>
        <v>73.672922252010721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37300</v>
      </c>
      <c r="M142" s="161">
        <f t="shared" ca="1" si="68"/>
        <v>37300</v>
      </c>
      <c r="N142" s="161">
        <f t="shared" ca="1" si="68"/>
        <v>27480</v>
      </c>
      <c r="O142" s="160">
        <f t="shared" ca="1" si="65"/>
        <v>73.672922252010721</v>
      </c>
      <c r="P142" s="160">
        <f t="shared" ca="1" si="66"/>
        <v>73.672922252010721</v>
      </c>
    </row>
    <row r="143" spans="1:16" ht="21.75" customHeight="1" x14ac:dyDescent="0.3">
      <c r="A143" s="162"/>
      <c r="B143" s="163"/>
      <c r="C143" s="163" t="s">
        <v>16</v>
      </c>
      <c r="D143" s="574" t="s">
        <v>20</v>
      </c>
      <c r="E143" s="575"/>
      <c r="F143" s="575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37300</v>
      </c>
      <c r="M144" s="173">
        <f ca="1">IFERROR(__xludf.DUMMYFUNCTION("IMPORTRANGE(""https://docs.google.com/spreadsheets/d/1Yj_ptqi66GCucihVvJfMjLAmec39IyEx_6qawtMGysU/edit?usp=sharing"",""สบก!BJ90"")"),37300)</f>
        <v>37300</v>
      </c>
      <c r="N144" s="174">
        <f ca="1">IFERROR(__xludf.DUMMYFUNCTION("IMPORTRANGE(""https://docs.google.com/spreadsheets/d/1Yj_ptqi66GCucihVvJfMjLAmec39IyEx_6qawtMGysU/edit?usp=sharing"",""สบก!BK90"")"),27480)</f>
        <v>27480</v>
      </c>
      <c r="O144" s="175">
        <f ca="1">IF(L144&gt;0,N144*100/L144,0)</f>
        <v>73.672922252010721</v>
      </c>
      <c r="P144" s="175">
        <f ca="1">IF(M144&gt;0,N144*100/M144,0)</f>
        <v>73.672922252010721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IFERROR(__xludf.DUMMYFUNCTION("IMPORTRANGE(""https://docs.google.com/spreadsheets/d/1Yj_ptqi66GCucihVvJfMjLAmec39IyEx_6qawtMGysU/edit?usp=sharing"",""สบก!BF90"")"),0)</f>
        <v>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IFERROR(__xludf.DUMMYFUNCTION("IMPORTRANGE(""https://docs.google.com/spreadsheets/d/1Yj_ptqi66GCucihVvJfMjLAmec39IyEx_6qawtMGysU/edit?usp=sharing"",""สบก!BG90"")"),37300)</f>
        <v>37300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6" t="s">
        <v>23</v>
      </c>
      <c r="E147" s="575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IFERROR(__xludf.DUMMYFUNCTION("IMPORTRANGE(""https://docs.google.com/spreadsheets/d/1Yj_ptqi66GCucihVvJfMjLAmec39IyEx_6qawtMGysU/edit?usp=sharing"",""สบก!BH90"")"),0)</f>
        <v>0</v>
      </c>
      <c r="M148" s="101"/>
      <c r="N148" s="91">
        <f ca="1">IFERROR(__xludf.DUMMYFUNCTION("IMPORTRANGE(""https://docs.google.com/spreadsheets/d/1Yj_ptqi66GCucihVvJfMjLAmec39IyEx_6qawtMGysU/edit?usp=sharing"",""สบก!BL90"")"),0)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IFERROR(__xludf.DUMMYFUNCTION("IMPORTRANGE(""https://docs.google.com/spreadsheets/d/1IYY_tgx_IHuhSq3AJ5eI5OnqOPBNLWSHKh2a30DoXe8/edit?usp=sharing"",""ยะลา!I74"")"),4)</f>
        <v>4</v>
      </c>
      <c r="J149" s="281">
        <f ca="1">IFERROR(__xludf.DUMMYFUNCTION("IMPORTRANGE(""https://docs.google.com/spreadsheets/d/1IYY_tgx_IHuhSq3AJ5eI5OnqOPBNLWSHKh2a30DoXe8/edit?usp=sharing"",""ยะลา!J74"")"),4)</f>
        <v>4</v>
      </c>
      <c r="K149" s="282">
        <f ca="1">IF(I149&gt;0,J149*100/I149,0)</f>
        <v>100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IFERROR(__xludf.DUMMYFUNCTION("IMPORTRANGE(""https://docs.google.com/spreadsheets/d/1IYY_tgx_IHuhSq3AJ5eI5OnqOPBNLWSHKh2a30DoXe8/edit?usp=sharing"",""ยะลา!J79"")"),0)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IFERROR(__xludf.DUMMYFUNCTION("IMPORTRANGE(""https://docs.google.com/spreadsheets/d/1IYY_tgx_IHuhSq3AJ5eI5OnqOPBNLWSHKh2a30DoXe8/edit?usp=sharing"",""ยะลา!J80"")"),1)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IFERROR(__xludf.DUMMYFUNCTION("IMPORTRANGE(""https://docs.google.com/spreadsheets/d/1IYY_tgx_IHuhSq3AJ5eI5OnqOPBNLWSHKh2a30DoXe8/edit?usp=sharing"",""ยะลา!J81"")"),1)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IFERROR(__xludf.DUMMYFUNCTION("IMPORTRANGE(""https://docs.google.com/spreadsheets/d/1IYY_tgx_IHuhSq3AJ5eI5OnqOPBNLWSHKh2a30DoXe8/edit?usp=sharing"",""ยะลา!J82"")"),1)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IFERROR(__xludf.DUMMYFUNCTION("IMPORTRANGE(""https://docs.google.com/spreadsheets/d/1IYY_tgx_IHuhSq3AJ5eI5OnqOPBNLWSHKh2a30DoXe8/edit?usp=sharing"",""ยะลา!I83"")"),4)</f>
        <v>4</v>
      </c>
      <c r="J158" s="195">
        <f ca="1">IFERROR(__xludf.DUMMYFUNCTION("IMPORTRANGE(""https://docs.google.com/spreadsheets/d/1IYY_tgx_IHuhSq3AJ5eI5OnqOPBNLWSHKh2a30DoXe8/edit?usp=sharing"",""ยะลา!J83"")"),4)</f>
        <v>4</v>
      </c>
      <c r="K158" s="167">
        <f ca="1">IF(I158&gt;0,J158*100/I158,0)</f>
        <v>100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IFERROR(__xludf.DUMMYFUNCTION("IMPORTRANGE(""https://docs.google.com/spreadsheets/d/1IYY_tgx_IHuhSq3AJ5eI5OnqOPBNLWSHKh2a30DoXe8/edit?usp=sharing"",""ยะลา!J84"")"),256)</f>
        <v>256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IFERROR(__xludf.DUMMYFUNCTION("IMPORTRANGE(""https://docs.google.com/spreadsheets/d/1IYY_tgx_IHuhSq3AJ5eI5OnqOPBNLWSHKh2a30DoXe8/edit?usp=sharing"",""ยะลา!J85"")"),256)</f>
        <v>256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IFERROR(__xludf.DUMMYFUNCTION("IMPORTRANGE(""https://docs.google.com/spreadsheets/d/1IYY_tgx_IHuhSq3AJ5eI5OnqOPBNLWSHKh2a30DoXe8/edit?usp=sharing"",""ยะลา!J86"")"),0)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IFERROR(__xludf.DUMMYFUNCTION("IMPORTRANGE(""https://docs.google.com/spreadsheets/d/1IYY_tgx_IHuhSq3AJ5eI5OnqOPBNLWSHKh2a30DoXe8/edit?usp=sharing"",""ยะลา!J87"")"),0)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IFERROR(__xludf.DUMMYFUNCTION("IMPORTRANGE(""https://docs.google.com/spreadsheets/d/1IYY_tgx_IHuhSq3AJ5eI5OnqOPBNLWSHKh2a30DoXe8/edit?usp=sharing"",""ยะลา!J88"")"),0)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IFERROR(__xludf.DUMMYFUNCTION("IMPORTRANGE(""https://docs.google.com/spreadsheets/d/1IYY_tgx_IHuhSq3AJ5eI5OnqOPBNLWSHKh2a30DoXe8/edit?usp=sharing"",""ยะลา!I89"")"),1)</f>
        <v>1</v>
      </c>
      <c r="J164" s="290">
        <f ca="1">IFERROR(__xludf.DUMMYFUNCTION("IMPORTRANGE(""https://docs.google.com/spreadsheets/d/1IYY_tgx_IHuhSq3AJ5eI5OnqOPBNLWSHKh2a30DoXe8/edit?usp=sharing"",""ยะลา!J89"")"),1)</f>
        <v>1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IFERROR(__xludf.DUMMYFUNCTION("IMPORTRANGE(""https://docs.google.com/spreadsheets/d/1IYY_tgx_IHuhSq3AJ5eI5OnqOPBNLWSHKh2a30DoXe8/edit?usp=sharing"",""ยะลา!J94"")"),0)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IFERROR(__xludf.DUMMYFUNCTION("IMPORTRANGE(""https://docs.google.com/spreadsheets/d/1IYY_tgx_IHuhSq3AJ5eI5OnqOPBNLWSHKh2a30DoXe8/edit?usp=sharing"",""ยะลา!J95"")"),1)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IFERROR(__xludf.DUMMYFUNCTION("IMPORTRANGE(""https://docs.google.com/spreadsheets/d/1IYY_tgx_IHuhSq3AJ5eI5OnqOPBNLWSHKh2a30DoXe8/edit?usp=sharing"",""ยะลา!J96"")"),1)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IFERROR(__xludf.DUMMYFUNCTION("IMPORTRANGE(""https://docs.google.com/spreadsheets/d/1IYY_tgx_IHuhSq3AJ5eI5OnqOPBNLWSHKh2a30DoXe8/edit?usp=sharing"",""ยะลา!J97"")"),1)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IFERROR(__xludf.DUMMYFUNCTION("IMPORTRANGE(""https://docs.google.com/spreadsheets/d/1IYY_tgx_IHuhSq3AJ5eI5OnqOPBNLWSHKh2a30DoXe8/edit?usp=sharing"",""ยะลา!I98"")"),1)</f>
        <v>1</v>
      </c>
      <c r="J173" s="195">
        <f ca="1">IFERROR(__xludf.DUMMYFUNCTION("IMPORTRANGE(""https://docs.google.com/spreadsheets/d/1IYY_tgx_IHuhSq3AJ5eI5OnqOPBNLWSHKh2a30DoXe8/edit?usp=sharing"",""ยะลา!J98"")"),1)</f>
        <v>1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IFERROR(__xludf.DUMMYFUNCTION("IMPORTRANGE(""https://docs.google.com/spreadsheets/d/1IYY_tgx_IHuhSq3AJ5eI5OnqOPBNLWSHKh2a30DoXe8/edit?usp=sharing"",""ยะลา!J99"")"),0)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IFERROR(__xludf.DUMMYFUNCTION("IMPORTRANGE(""https://docs.google.com/spreadsheets/d/1IYY_tgx_IHuhSq3AJ5eI5OnqOPBNLWSHKh2a30DoXe8/edit?usp=sharing"",""ยะลา!J100"")"),0)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IFERROR(__xludf.DUMMYFUNCTION("IMPORTRANGE(""https://docs.google.com/spreadsheets/d/1IYY_tgx_IHuhSq3AJ5eI5OnqOPBNLWSHKh2a30DoXe8/edit?usp=sharing"",""ยะลา!I101"")"),0)</f>
        <v>0</v>
      </c>
      <c r="J176" s="290">
        <f ca="1">IFERROR(__xludf.DUMMYFUNCTION("IMPORTRANGE(""https://docs.google.com/spreadsheets/d/1IYY_tgx_IHuhSq3AJ5eI5OnqOPBNLWSHKh2a30DoXe8/edit?usp=sharing"",""ยะลา!J101"")"),0)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IFERROR(__xludf.DUMMYFUNCTION("IMPORTRANGE(""https://docs.google.com/spreadsheets/d/1IYY_tgx_IHuhSq3AJ5eI5OnqOPBNLWSHKh2a30DoXe8/edit?usp=sharing"",""ยะลา!J106"")"),0)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IFERROR(__xludf.DUMMYFUNCTION("IMPORTRANGE(""https://docs.google.com/spreadsheets/d/1IYY_tgx_IHuhSq3AJ5eI5OnqOPBNLWSHKh2a30DoXe8/edit?usp=sharing"",""ยะลา!J107"")"),0)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IFERROR(__xludf.DUMMYFUNCTION("IMPORTRANGE(""https://docs.google.com/spreadsheets/d/1IYY_tgx_IHuhSq3AJ5eI5OnqOPBNLWSHKh2a30DoXe8/edit?usp=sharing"",""ยะลา!J108"")"),0)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IFERROR(__xludf.DUMMYFUNCTION("IMPORTRANGE(""https://docs.google.com/spreadsheets/d/1IYY_tgx_IHuhSq3AJ5eI5OnqOPBNLWSHKh2a30DoXe8/edit?usp=sharing"",""ยะลา!J109"")"),0)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IFERROR(__xludf.DUMMYFUNCTION("IMPORTRANGE(""https://docs.google.com/spreadsheets/d/1IYY_tgx_IHuhSq3AJ5eI5OnqOPBNLWSHKh2a30DoXe8/edit?usp=sharing"",""ยะลา!I110"")"),0)</f>
        <v>0</v>
      </c>
      <c r="J185" s="210">
        <f ca="1">IFERROR(__xludf.DUMMYFUNCTION("IMPORTRANGE(""https://docs.google.com/spreadsheets/d/1IYY_tgx_IHuhSq3AJ5eI5OnqOPBNLWSHKh2a30DoXe8/edit?usp=sharing"",""ยะลา!J110"")"),0)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IFERROR(__xludf.DUMMYFUNCTION("IMPORTRANGE(""https://docs.google.com/spreadsheets/d/1IYY_tgx_IHuhSq3AJ5eI5OnqOPBNLWSHKh2a30DoXe8/edit?usp=sharing"",""ยะลา!I111"")"),0)</f>
        <v>0</v>
      </c>
      <c r="J186" s="210">
        <f ca="1">IFERROR(__xludf.DUMMYFUNCTION("IMPORTRANGE(""https://docs.google.com/spreadsheets/d/1IYY_tgx_IHuhSq3AJ5eI5OnqOPBNLWSHKh2a30DoXe8/edit?usp=sharing"",""ยะลา!J111"")"),0)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IFERROR(__xludf.DUMMYFUNCTION("IMPORTRANGE(""https://docs.google.com/spreadsheets/d/1IYY_tgx_IHuhSq3AJ5eI5OnqOPBNLWSHKh2a30DoXe8/edit?usp=sharing"",""ยะลา!J112"")"),0)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IFERROR(__xludf.DUMMYFUNCTION("IMPORTRANGE(""https://docs.google.com/spreadsheets/d/1IYY_tgx_IHuhSq3AJ5eI5OnqOPBNLWSHKh2a30DoXe8/edit?usp=sharing"",""ยะลา!J113"")"),0)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IFERROR(__xludf.DUMMYFUNCTION("IMPORTRANGE(""https://docs.google.com/spreadsheets/d/1IYY_tgx_IHuhSq3AJ5eI5OnqOPBNLWSHKh2a30DoXe8/edit?usp=sharing"",""ยะลา!I114"")"),12000)</f>
        <v>12000</v>
      </c>
      <c r="J189" s="290">
        <f ca="1">IFERROR(__xludf.DUMMYFUNCTION("IMPORTRANGE(""https://docs.google.com/spreadsheets/d/1IYY_tgx_IHuhSq3AJ5eI5OnqOPBNLWSHKh2a30DoXe8/edit?usp=sharing"",""ยะลา!J114"")"),12000)</f>
        <v>12000</v>
      </c>
      <c r="K189" s="291">
        <f ca="1">IF(I189&gt;0,J189*100/I189,0)</f>
        <v>100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IFERROR(__xludf.DUMMYFUNCTION("IMPORTRANGE(""https://docs.google.com/spreadsheets/d/1IYY_tgx_IHuhSq3AJ5eI5OnqOPBNLWSHKh2a30DoXe8/edit?usp=sharing"",""ยะลา!J119"")"),1)</f>
        <v>1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IFERROR(__xludf.DUMMYFUNCTION("IMPORTRANGE(""https://docs.google.com/spreadsheets/d/1IYY_tgx_IHuhSq3AJ5eI5OnqOPBNLWSHKh2a30DoXe8/edit?usp=sharing"",""ยะลา!J120"")"),1)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IFERROR(__xludf.DUMMYFUNCTION("IMPORTRANGE(""https://docs.google.com/spreadsheets/d/1IYY_tgx_IHuhSq3AJ5eI5OnqOPBNLWSHKh2a30DoXe8/edit?usp=sharing"",""ยะลา!J121"")"),1)</f>
        <v>1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IFERROR(__xludf.DUMMYFUNCTION("IMPORTRANGE(""https://docs.google.com/spreadsheets/d/1IYY_tgx_IHuhSq3AJ5eI5OnqOPBNLWSHKh2a30DoXe8/edit?usp=sharing"",""ยะลา!J122"")"),1)</f>
        <v>1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IFERROR(__xludf.DUMMYFUNCTION("IMPORTRANGE(""https://docs.google.com/spreadsheets/d/1IYY_tgx_IHuhSq3AJ5eI5OnqOPBNLWSHKh2a30DoXe8/edit?usp=sharing"",""ยะลา!I124"")"),12000)</f>
        <v>12000</v>
      </c>
      <c r="J199" s="195">
        <f ca="1">IFERROR(__xludf.DUMMYFUNCTION("IMPORTRANGE(""https://docs.google.com/spreadsheets/d/1IYY_tgx_IHuhSq3AJ5eI5OnqOPBNLWSHKh2a30DoXe8/edit?usp=sharing"",""ยะลา!J124"")"),12000)</f>
        <v>12000</v>
      </c>
      <c r="K199" s="167">
        <f t="shared" ref="K199:K201" ca="1" si="70">IF(I199&gt;0,J199*100/I199,0)</f>
        <v>100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IFERROR(__xludf.DUMMYFUNCTION("IMPORTRANGE(""https://docs.google.com/spreadsheets/d/1IYY_tgx_IHuhSq3AJ5eI5OnqOPBNLWSHKh2a30DoXe8/edit?usp=sharing"",""ยะลา!I125"")"),12000)</f>
        <v>12000</v>
      </c>
      <c r="J200" s="195">
        <f ca="1">IFERROR(__xludf.DUMMYFUNCTION("IMPORTRANGE(""https://docs.google.com/spreadsheets/d/1IYY_tgx_IHuhSq3AJ5eI5OnqOPBNLWSHKh2a30DoXe8/edit?usp=sharing"",""ยะลา!J125"")"),12000)</f>
        <v>12000</v>
      </c>
      <c r="K200" s="167">
        <f t="shared" ca="1" si="70"/>
        <v>100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IFERROR(__xludf.DUMMYFUNCTION("IMPORTRANGE(""https://docs.google.com/spreadsheets/d/1IYY_tgx_IHuhSq3AJ5eI5OnqOPBNLWSHKh2a30DoXe8/edit?usp=sharing"",""ยะลา!I126"")"),0)</f>
        <v>0</v>
      </c>
      <c r="J201" s="195">
        <f ca="1">IFERROR(__xludf.DUMMYFUNCTION("IMPORTRANGE(""https://docs.google.com/spreadsheets/d/1IYY_tgx_IHuhSq3AJ5eI5OnqOPBNLWSHKh2a30DoXe8/edit?usp=sharing"",""ยะลา!J126"")"),0)</f>
        <v>0</v>
      </c>
      <c r="K201" s="167">
        <f t="shared" ca="1" si="70"/>
        <v>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IFERROR(__xludf.DUMMYFUNCTION("IMPORTRANGE(""https://docs.google.com/spreadsheets/d/1IYY_tgx_IHuhSq3AJ5eI5OnqOPBNLWSHKh2a30DoXe8/edit?usp=sharing"",""ยะลา!J127"")"),0)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IFERROR(__xludf.DUMMYFUNCTION("IMPORTRANGE(""https://docs.google.com/spreadsheets/d/1IYY_tgx_IHuhSq3AJ5eI5OnqOPBNLWSHKh2a30DoXe8/edit?usp=sharing"",""ยะลา!J128"")"),0)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IFERROR(__xludf.DUMMYFUNCTION("IMPORTRANGE(""https://docs.google.com/spreadsheets/d/1IYY_tgx_IHuhSq3AJ5eI5OnqOPBNLWSHKh2a30DoXe8/edit?usp=sharing"",""ยะลา!I129"")"),0)</f>
        <v>0</v>
      </c>
      <c r="J204" s="290">
        <f ca="1">IFERROR(__xludf.DUMMYFUNCTION("IMPORTRANGE(""https://docs.google.com/spreadsheets/d/1IYY_tgx_IHuhSq3AJ5eI5OnqOPBNLWSHKh2a30DoXe8/edit?usp=sharing"",""ยะลา!J129"")"),0)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IFERROR(__xludf.DUMMYFUNCTION("IMPORTRANGE(""https://docs.google.com/spreadsheets/d/1IYY_tgx_IHuhSq3AJ5eI5OnqOPBNLWSHKh2a30DoXe8/edit?usp=sharing"",""ยะลา!J134"")"),0)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IFERROR(__xludf.DUMMYFUNCTION("IMPORTRANGE(""https://docs.google.com/spreadsheets/d/1IYY_tgx_IHuhSq3AJ5eI5OnqOPBNLWSHKh2a30DoXe8/edit?usp=sharing"",""ยะลา!J135"")"),0)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IFERROR(__xludf.DUMMYFUNCTION("IMPORTRANGE(""https://docs.google.com/spreadsheets/d/1IYY_tgx_IHuhSq3AJ5eI5OnqOPBNLWSHKh2a30DoXe8/edit?usp=sharing"",""ยะลา!J136"")"),0)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IFERROR(__xludf.DUMMYFUNCTION("IMPORTRANGE(""https://docs.google.com/spreadsheets/d/1IYY_tgx_IHuhSq3AJ5eI5OnqOPBNLWSHKh2a30DoXe8/edit?usp=sharing"",""ยะลา!J137"")"),0)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IFERROR(__xludf.DUMMYFUNCTION("IMPORTRANGE(""https://docs.google.com/spreadsheets/d/1IYY_tgx_IHuhSq3AJ5eI5OnqOPBNLWSHKh2a30DoXe8/edit?usp=sharing"",""ยะลา!I138"")"),0)</f>
        <v>0</v>
      </c>
      <c r="J213" s="210">
        <f ca="1">IFERROR(__xludf.DUMMYFUNCTION("IMPORTRANGE(""https://docs.google.com/spreadsheets/d/1IYY_tgx_IHuhSq3AJ5eI5OnqOPBNLWSHKh2a30DoXe8/edit?usp=sharing"",""ยะลา!J138"")"),0)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IFERROR(__xludf.DUMMYFUNCTION("IMPORTRANGE(""https://docs.google.com/spreadsheets/d/1IYY_tgx_IHuhSq3AJ5eI5OnqOPBNLWSHKh2a30DoXe8/edit?usp=sharing"",""ยะลา!I140"")"),0)</f>
        <v>0</v>
      </c>
      <c r="J215" s="210">
        <f ca="1">IFERROR(__xludf.DUMMYFUNCTION("IMPORTRANGE(""https://docs.google.com/spreadsheets/d/1IYY_tgx_IHuhSq3AJ5eI5OnqOPBNLWSHKh2a30DoXe8/edit?usp=sharing"",""ยะลา!J140"")"),0)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IFERROR(__xludf.DUMMYFUNCTION("IMPORTRANGE(""https://docs.google.com/spreadsheets/d/1IYY_tgx_IHuhSq3AJ5eI5OnqOPBNLWSHKh2a30DoXe8/edit?usp=sharing"",""ยะลา!I141"")"),0)</f>
        <v>0</v>
      </c>
      <c r="J216" s="210">
        <f ca="1">IFERROR(__xludf.DUMMYFUNCTION("IMPORTRANGE(""https://docs.google.com/spreadsheets/d/1IYY_tgx_IHuhSq3AJ5eI5OnqOPBNLWSHKh2a30DoXe8/edit?usp=sharing"",""ยะลา!J141"")"),0)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IFERROR(__xludf.DUMMYFUNCTION("IMPORTRANGE(""https://docs.google.com/spreadsheets/d/1IYY_tgx_IHuhSq3AJ5eI5OnqOPBNLWSHKh2a30DoXe8/edit?usp=sharing"",""ยะลา!J142"")"),0)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IFERROR(__xludf.DUMMYFUNCTION("IMPORTRANGE(""https://docs.google.com/spreadsheets/d/1IYY_tgx_IHuhSq3AJ5eI5OnqOPBNLWSHKh2a30DoXe8/edit?usp=sharing"",""ยะลา!J143"")"),0)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IFERROR(__xludf.DUMMYFUNCTION("IMPORTRANGE(""https://docs.google.com/spreadsheets/d/1IYY_tgx_IHuhSq3AJ5eI5OnqOPBNLWSHKh2a30DoXe8/edit?usp=sharing"",""ยะลา!I144"")"),15)</f>
        <v>15</v>
      </c>
      <c r="J219" s="273">
        <f ca="1">IFERROR(__xludf.DUMMYFUNCTION("IMPORTRANGE(""https://docs.google.com/spreadsheets/d/1IYY_tgx_IHuhSq3AJ5eI5OnqOPBNLWSHKh2a30DoXe8/edit?usp=sharing"",""ยะลา!J144"")"),15)</f>
        <v>15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2" t="s">
        <v>17</v>
      </c>
      <c r="E220" s="573"/>
      <c r="F220" s="573"/>
      <c r="G220" s="573"/>
      <c r="H220" s="153" t="s">
        <v>12</v>
      </c>
      <c r="I220" s="166"/>
      <c r="J220" s="166"/>
      <c r="K220" s="167"/>
      <c r="L220" s="156">
        <f t="shared" ref="L220:N220" ca="1" si="72">L221+L222</f>
        <v>34825</v>
      </c>
      <c r="M220" s="156">
        <f t="shared" ca="1" si="72"/>
        <v>34825</v>
      </c>
      <c r="N220" s="156">
        <f t="shared" ca="1" si="72"/>
        <v>34825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34825</v>
      </c>
      <c r="M222" s="161">
        <f t="shared" ca="1" si="76"/>
        <v>34825</v>
      </c>
      <c r="N222" s="161">
        <f t="shared" ca="1" si="76"/>
        <v>34825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3">
      <c r="A223" s="162"/>
      <c r="B223" s="163"/>
      <c r="C223" s="163" t="s">
        <v>16</v>
      </c>
      <c r="D223" s="574" t="s">
        <v>20</v>
      </c>
      <c r="E223" s="575"/>
      <c r="F223" s="575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34825</v>
      </c>
      <c r="M224" s="173">
        <f ca="1">IFERROR(__xludf.DUMMYFUNCTION("IMPORTRANGE(""https://docs.google.com/spreadsheets/d/1Yj_ptqi66GCucihVvJfMjLAmec39IyEx_6qawtMGysU/edit?usp=sharing"",""สบก!BS90"")"),34825)</f>
        <v>34825</v>
      </c>
      <c r="N224" s="174">
        <f ca="1">IFERROR(__xludf.DUMMYFUNCTION("IMPORTRANGE(""https://docs.google.com/spreadsheets/d/1Yj_ptqi66GCucihVvJfMjLAmec39IyEx_6qawtMGysU/edit?usp=sharing"",""สบก!BT90"")"),34825)</f>
        <v>34825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IFERROR(__xludf.DUMMYFUNCTION("IMPORTRANGE(""https://docs.google.com/spreadsheets/d/1Yj_ptqi66GCucihVvJfMjLAmec39IyEx_6qawtMGysU/edit?usp=sharing"",""สบก!BO90"")"),0)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IFERROR(__xludf.DUMMYFUNCTION("IMPORTRANGE(""https://docs.google.com/spreadsheets/d/1Yj_ptqi66GCucihVvJfMjLAmec39IyEx_6qawtMGysU/edit?usp=sharing"",""สบก!BP90"")"),34825)</f>
        <v>34825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6" t="s">
        <v>23</v>
      </c>
      <c r="E227" s="575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IFERROR(__xludf.DUMMYFUNCTION("IMPORTRANGE(""https://docs.google.com/spreadsheets/d/1Yj_ptqi66GCucihVvJfMjLAmec39IyEx_6qawtMGysU/edit?usp=sharing"",""สบก!BQ90"")"),0)</f>
        <v>0</v>
      </c>
      <c r="M228" s="101"/>
      <c r="N228" s="91">
        <f ca="1">IFERROR(__xludf.DUMMYFUNCTION("IMPORTRANGE(""https://docs.google.com/spreadsheets/d/1Yj_ptqi66GCucihVvJfMjLAmec39IyEx_6qawtMGysU/edit?usp=sharing"",""สบก!BU90"")"),0)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IFERROR(__xludf.DUMMYFUNCTION("IMPORTRANGE(""https://docs.google.com/spreadsheets/d/1IYY_tgx_IHuhSq3AJ5eI5OnqOPBNLWSHKh2a30DoXe8/edit?usp=sharing"",""ยะลา!I149"")"),15)</f>
        <v>15</v>
      </c>
      <c r="J229" s="273">
        <f ca="1">IFERROR(__xludf.DUMMYFUNCTION("IMPORTRANGE(""https://docs.google.com/spreadsheets/d/1IYY_tgx_IHuhSq3AJ5eI5OnqOPBNLWSHKh2a30DoXe8/edit?usp=sharing"",""ยะลา!J149"")"),15)</f>
        <v>15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IFERROR(__xludf.DUMMYFUNCTION("IMPORTRANGE(""https://docs.google.com/spreadsheets/d/1IYY_tgx_IHuhSq3AJ5eI5OnqOPBNLWSHKh2a30DoXe8/edit?usp=sharing"",""ยะลา!J151"")"),0)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IFERROR(__xludf.DUMMYFUNCTION("IMPORTRANGE(""https://docs.google.com/spreadsheets/d/1IYY_tgx_IHuhSq3AJ5eI5OnqOPBNLWSHKh2a30DoXe8/edit?usp=sharing"",""ยะลา!J152"")"),1)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IFERROR(__xludf.DUMMYFUNCTION("IMPORTRANGE(""https://docs.google.com/spreadsheets/d/1IYY_tgx_IHuhSq3AJ5eI5OnqOPBNLWSHKh2a30DoXe8/edit?usp=sharing"",""ยะลา!J153"")"),1)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IFERROR(__xludf.DUMMYFUNCTION("IMPORTRANGE(""https://docs.google.com/spreadsheets/d/1IYY_tgx_IHuhSq3AJ5eI5OnqOPBNLWSHKh2a30DoXe8/edit?usp=sharing"",""ยะลา!J154"")"),1)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IFERROR(__xludf.DUMMYFUNCTION("IMPORTRANGE(""https://docs.google.com/spreadsheets/d/1IYY_tgx_IHuhSq3AJ5eI5OnqOPBNLWSHKh2a30DoXe8/edit?usp=sharing"",""ยะลา!I155"")"),15)</f>
        <v>15</v>
      </c>
      <c r="J235" s="195">
        <f ca="1">IFERROR(__xludf.DUMMYFUNCTION("IMPORTRANGE(""https://docs.google.com/spreadsheets/d/1IYY_tgx_IHuhSq3AJ5eI5OnqOPBNLWSHKh2a30DoXe8/edit?usp=sharing"",""ยะลา!J155"")"),15)</f>
        <v>15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IFERROR(__xludf.DUMMYFUNCTION("IMPORTRANGE(""https://docs.google.com/spreadsheets/d/1IYY_tgx_IHuhSq3AJ5eI5OnqOPBNLWSHKh2a30DoXe8/edit?usp=sharing"",""ยะลา!J156"")"),0)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IFERROR(__xludf.DUMMYFUNCTION("IMPORTRANGE(""https://docs.google.com/spreadsheets/d/1IYY_tgx_IHuhSq3AJ5eI5OnqOPBNLWSHKh2a30DoXe8/edit?usp=sharing"",""ยะลา!J157"")"),0)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IFERROR(__xludf.DUMMYFUNCTION("IMPORTRANGE(""https://docs.google.com/spreadsheets/d/1IYY_tgx_IHuhSq3AJ5eI5OnqOPBNLWSHKh2a30DoXe8/edit?usp=sharing"",""ยะลา!I158"")"),0)</f>
        <v>0</v>
      </c>
      <c r="J238" s="273">
        <f ca="1">IFERROR(__xludf.DUMMYFUNCTION("IMPORTRANGE(""https://docs.google.com/spreadsheets/d/1IYY_tgx_IHuhSq3AJ5eI5OnqOPBNLWSHKh2a30DoXe8/edit?usp=sharing"",""ยะลา!J158"")"),0)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IFERROR(__xludf.DUMMYFUNCTION("IMPORTRANGE(""https://docs.google.com/spreadsheets/d/1IYY_tgx_IHuhSq3AJ5eI5OnqOPBNLWSHKh2a30DoXe8/edit?usp=sharing"",""ยะลา!J159"")"),"")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IFERROR(__xludf.DUMMYFUNCTION("IMPORTRANGE(""https://docs.google.com/spreadsheets/d/1IYY_tgx_IHuhSq3AJ5eI5OnqOPBNLWSHKh2a30DoXe8/edit?usp=sharing"",""ยะลา!J161"")"),0)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IFERROR(__xludf.DUMMYFUNCTION("IMPORTRANGE(""https://docs.google.com/spreadsheets/d/1IYY_tgx_IHuhSq3AJ5eI5OnqOPBNLWSHKh2a30DoXe8/edit?usp=sharing"",""ยะลา!J162"")"),0)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IFERROR(__xludf.DUMMYFUNCTION("IMPORTRANGE(""https://docs.google.com/spreadsheets/d/1IYY_tgx_IHuhSq3AJ5eI5OnqOPBNLWSHKh2a30DoXe8/edit?usp=sharing"",""ยะลา!J163"")"),0)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IFERROR(__xludf.DUMMYFUNCTION("IMPORTRANGE(""https://docs.google.com/spreadsheets/d/1IYY_tgx_IHuhSq3AJ5eI5OnqOPBNLWSHKh2a30DoXe8/edit?usp=sharing"",""ยะลา!I164"")"),0)</f>
        <v>0</v>
      </c>
      <c r="J244" s="194">
        <f ca="1">IFERROR(__xludf.DUMMYFUNCTION("IMPORTRANGE(""https://docs.google.com/spreadsheets/d/1IYY_tgx_IHuhSq3AJ5eI5OnqOPBNLWSHKh2a30DoXe8/edit?usp=sharing"",""ยะลา!J164"")"),0)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IFERROR(__xludf.DUMMYFUNCTION("IMPORTRANGE(""https://docs.google.com/spreadsheets/d/1IYY_tgx_IHuhSq3AJ5eI5OnqOPBNLWSHKh2a30DoXe8/edit?usp=sharing"",""ยะลา!J165"")"),0)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IFERROR(__xludf.DUMMYFUNCTION("IMPORTRANGE(""https://docs.google.com/spreadsheets/d/1IYY_tgx_IHuhSq3AJ5eI5OnqOPBNLWSHKh2a30DoXe8/edit?usp=sharing"",""ยะลา!J166"")"),0)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IFERROR(__xludf.DUMMYFUNCTION("IMPORTRANGE(""https://docs.google.com/spreadsheets/d/1IYY_tgx_IHuhSq3AJ5eI5OnqOPBNLWSHKh2a30DoXe8/edit?usp=sharing"",""ยะลา!I169"")"),0)</f>
        <v>0</v>
      </c>
      <c r="J249" s="322">
        <f ca="1">IFERROR(__xludf.DUMMYFUNCTION("IMPORTRANGE(""https://docs.google.com/spreadsheets/d/1IYY_tgx_IHuhSq3AJ5eI5OnqOPBNLWSHKh2a30DoXe8/edit?usp=sharing"",""ยะลา!J169"")"),0)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2" t="s">
        <v>17</v>
      </c>
      <c r="E250" s="573"/>
      <c r="F250" s="573"/>
      <c r="G250" s="573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3">
      <c r="A253" s="162"/>
      <c r="B253" s="163"/>
      <c r="C253" s="163" t="s">
        <v>16</v>
      </c>
      <c r="D253" s="574" t="s">
        <v>20</v>
      </c>
      <c r="E253" s="575"/>
      <c r="F253" s="575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IFERROR(__xludf.DUMMYFUNCTION("IMPORTRANGE(""https://docs.google.com/spreadsheets/d/1Yj_ptqi66GCucihVvJfMjLAmec39IyEx_6qawtMGysU/edit?usp=sharing"",""สบก!CB90"")"),0)</f>
        <v>0</v>
      </c>
      <c r="N254" s="174">
        <f ca="1">IFERROR(__xludf.DUMMYFUNCTION("IMPORTRANGE(""https://docs.google.com/spreadsheets/d/1Yj_ptqi66GCucihVvJfMjLAmec39IyEx_6qawtMGysU/edit?usp=sharing"",""สบก!CC90"")"),0)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IFERROR(__xludf.DUMMYFUNCTION("IMPORTRANGE(""https://docs.google.com/spreadsheets/d/1Yj_ptqi66GCucihVvJfMjLAmec39IyEx_6qawtMGysU/edit?usp=sharing"",""สบก!BX90"")"),0)</f>
        <v>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IFERROR(__xludf.DUMMYFUNCTION("IMPORTRANGE(""https://docs.google.com/spreadsheets/d/1Yj_ptqi66GCucihVvJfMjLAmec39IyEx_6qawtMGysU/edit?usp=sharing"",""สบก!BY90"")"),0)</f>
        <v>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6" t="s">
        <v>23</v>
      </c>
      <c r="E257" s="575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IFERROR(__xludf.DUMMYFUNCTION("IMPORTRANGE(""https://docs.google.com/spreadsheets/d/1Yj_ptqi66GCucihVvJfMjLAmec39IyEx_6qawtMGysU/edit?usp=sharing"",""สบก!BZ90"")"),0)</f>
        <v>0</v>
      </c>
      <c r="M258" s="101"/>
      <c r="N258" s="91">
        <f ca="1">IFERROR(__xludf.DUMMYFUNCTION("IMPORTRANGE(""https://docs.google.com/spreadsheets/d/1Yj_ptqi66GCucihVvJfMjLAmec39IyEx_6qawtMGysU/edit?usp=sharing"",""สบก!CD90"")"),0)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IFERROR(__xludf.DUMMYFUNCTION("IMPORTRANGE(""https://docs.google.com/spreadsheets/d/1IYY_tgx_IHuhSq3AJ5eI5OnqOPBNLWSHKh2a30DoXe8/edit?usp=sharing"",""ยะลา!J175"")"),0)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IFERROR(__xludf.DUMMYFUNCTION("IMPORTRANGE(""https://docs.google.com/spreadsheets/d/1IYY_tgx_IHuhSq3AJ5eI5OnqOPBNLWSHKh2a30DoXe8/edit?usp=sharing"",""ยะลา!J176"")"),0)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IFERROR(__xludf.DUMMYFUNCTION("IMPORTRANGE(""https://docs.google.com/spreadsheets/d/1IYY_tgx_IHuhSq3AJ5eI5OnqOPBNLWSHKh2a30DoXe8/edit?usp=sharing"",""ยะลา!J177"")"),0)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IFERROR(__xludf.DUMMYFUNCTION("IMPORTRANGE(""https://docs.google.com/spreadsheets/d/1IYY_tgx_IHuhSq3AJ5eI5OnqOPBNLWSHKh2a30DoXe8/edit?usp=sharing"",""ยะลา!J178"")"),0)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IFERROR(__xludf.DUMMYFUNCTION("IMPORTRANGE(""https://docs.google.com/spreadsheets/d/1IYY_tgx_IHuhSq3AJ5eI5OnqOPBNLWSHKh2a30DoXe8/edit?usp=sharing"",""ยะลา!I179"")"),0)</f>
        <v>0</v>
      </c>
      <c r="J264" s="195">
        <f ca="1">IFERROR(__xludf.DUMMYFUNCTION("IMPORTRANGE(""https://docs.google.com/spreadsheets/d/1IYY_tgx_IHuhSq3AJ5eI5OnqOPBNLWSHKh2a30DoXe8/edit?usp=sharing"",""ยะลา!J179"")"),0)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IFERROR(__xludf.DUMMYFUNCTION("IMPORTRANGE(""https://docs.google.com/spreadsheets/d/1IYY_tgx_IHuhSq3AJ5eI5OnqOPBNLWSHKh2a30DoXe8/edit?usp=sharing"",""ยะลา!I180"")"),0)</f>
        <v>0</v>
      </c>
      <c r="J265" s="195">
        <f ca="1">IFERROR(__xludf.DUMMYFUNCTION("IMPORTRANGE(""https://docs.google.com/spreadsheets/d/1IYY_tgx_IHuhSq3AJ5eI5OnqOPBNLWSHKh2a30DoXe8/edit?usp=sharing"",""ยะลา!J180"")"),0)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IFERROR(__xludf.DUMMYFUNCTION("IMPORTRANGE(""https://docs.google.com/spreadsheets/d/1IYY_tgx_IHuhSq3AJ5eI5OnqOPBNLWSHKh2a30DoXe8/edit?usp=sharing"",""ยะลา!I181"")"),0)</f>
        <v>0</v>
      </c>
      <c r="J266" s="195">
        <f ca="1">IFERROR(__xludf.DUMMYFUNCTION("IMPORTRANGE(""https://docs.google.com/spreadsheets/d/1IYY_tgx_IHuhSq3AJ5eI5OnqOPBNLWSHKh2a30DoXe8/edit?usp=sharing"",""ยะลา!J181"")"),0)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IFERROR(__xludf.DUMMYFUNCTION("IMPORTRANGE(""https://docs.google.com/spreadsheets/d/1IYY_tgx_IHuhSq3AJ5eI5OnqOPBNLWSHKh2a30DoXe8/edit?usp=sharing"",""ยะลา!I182"")"),0)</f>
        <v>0</v>
      </c>
      <c r="J267" s="195">
        <f ca="1">IFERROR(__xludf.DUMMYFUNCTION("IMPORTRANGE(""https://docs.google.com/spreadsheets/d/1IYY_tgx_IHuhSq3AJ5eI5OnqOPBNLWSHKh2a30DoXe8/edit?usp=sharing"",""ยะลา!J182"")"),0)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IFERROR(__xludf.DUMMYFUNCTION("IMPORTRANGE(""https://docs.google.com/spreadsheets/d/1IYY_tgx_IHuhSq3AJ5eI5OnqOPBNLWSHKh2a30DoXe8/edit?usp=sharing"",""ยะลา!J183"")"),0)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IFERROR(__xludf.DUMMYFUNCTION("IMPORTRANGE(""https://docs.google.com/spreadsheets/d/1IYY_tgx_IHuhSq3AJ5eI5OnqOPBNLWSHKh2a30DoXe8/edit?usp=sharing"",""ยะลา!J184"")"),0)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IFERROR(__xludf.DUMMYFUNCTION("IMPORTRANGE(""https://docs.google.com/spreadsheets/d/1IYY_tgx_IHuhSq3AJ5eI5OnqOPBNLWSHKh2a30DoXe8/edit?usp=sharing"",""ยะลา!I185"")"),0)</f>
        <v>0</v>
      </c>
      <c r="J270" s="322">
        <f ca="1">IFERROR(__xludf.DUMMYFUNCTION("IMPORTRANGE(""https://docs.google.com/spreadsheets/d/1IYY_tgx_IHuhSq3AJ5eI5OnqOPBNLWSHKh2a30DoXe8/edit?usp=sharing"",""ยะลา!J185"")"),0)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2" t="s">
        <v>17</v>
      </c>
      <c r="E271" s="573"/>
      <c r="F271" s="573"/>
      <c r="G271" s="573"/>
      <c r="H271" s="153" t="s">
        <v>12</v>
      </c>
      <c r="I271" s="166"/>
      <c r="J271" s="166"/>
      <c r="K271" s="167"/>
      <c r="L271" s="156">
        <f t="shared" ref="L271:N271" ca="1" si="83">L272+L273</f>
        <v>0</v>
      </c>
      <c r="M271" s="156">
        <f t="shared" ca="1" si="83"/>
        <v>0</v>
      </c>
      <c r="N271" s="156">
        <f t="shared" ca="1" si="83"/>
        <v>0</v>
      </c>
      <c r="O271" s="155">
        <f t="shared" ref="O271:O273" ca="1" si="84">IF(L271&gt;0,N271*100/L271,0)</f>
        <v>0</v>
      </c>
      <c r="P271" s="155">
        <f t="shared" ref="P271:P273" ca="1" si="85">IF(M271&gt;0,N271*100/M271,0)</f>
        <v>0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0</v>
      </c>
      <c r="M273" s="161">
        <f t="shared" ca="1" si="87"/>
        <v>0</v>
      </c>
      <c r="N273" s="161">
        <f t="shared" ca="1" si="87"/>
        <v>0</v>
      </c>
      <c r="O273" s="160">
        <f t="shared" ca="1" si="84"/>
        <v>0</v>
      </c>
      <c r="P273" s="160">
        <f t="shared" ca="1" si="85"/>
        <v>0</v>
      </c>
    </row>
    <row r="274" spans="1:16" ht="21.75" customHeight="1" x14ac:dyDescent="0.3">
      <c r="A274" s="162"/>
      <c r="B274" s="163"/>
      <c r="C274" s="163" t="s">
        <v>16</v>
      </c>
      <c r="D274" s="574" t="s">
        <v>20</v>
      </c>
      <c r="E274" s="575"/>
      <c r="F274" s="575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0</v>
      </c>
      <c r="M275" s="173">
        <f ca="1">IFERROR(__xludf.DUMMYFUNCTION("IMPORTRANGE(""https://docs.google.com/spreadsheets/d/1Yj_ptqi66GCucihVvJfMjLAmec39IyEx_6qawtMGysU/edit?usp=sharing"",""สบก!CK90"")"),0)</f>
        <v>0</v>
      </c>
      <c r="N275" s="174">
        <f ca="1">IFERROR(__xludf.DUMMYFUNCTION("IMPORTRANGE(""https://docs.google.com/spreadsheets/d/1Yj_ptqi66GCucihVvJfMjLAmec39IyEx_6qawtMGysU/edit?usp=sharing"",""สบก!CL90"")"),0)</f>
        <v>0</v>
      </c>
      <c r="O275" s="175">
        <f ca="1">IF(L275&gt;0,N275*100/L275,0)</f>
        <v>0</v>
      </c>
      <c r="P275" s="175">
        <f ca="1">IF(M275&gt;0,N275*100/M275,0)</f>
        <v>0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IFERROR(__xludf.DUMMYFUNCTION("IMPORTRANGE(""https://docs.google.com/spreadsheets/d/1Yj_ptqi66GCucihVvJfMjLAmec39IyEx_6qawtMGysU/edit?usp=sharing"",""สบก!CG90"")"),0)</f>
        <v>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IFERROR(__xludf.DUMMYFUNCTION("IMPORTRANGE(""https://docs.google.com/spreadsheets/d/1Yj_ptqi66GCucihVvJfMjLAmec39IyEx_6qawtMGysU/edit?usp=sharing"",""สบก!CH90"")"),0)</f>
        <v>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6" t="s">
        <v>23</v>
      </c>
      <c r="E278" s="575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IFERROR(__xludf.DUMMYFUNCTION("IMPORTRANGE(""https://docs.google.com/spreadsheets/d/1Yj_ptqi66GCucihVvJfMjLAmec39IyEx_6qawtMGysU/edit?usp=sharing"",""สบก!CI90"")"),0)</f>
        <v>0</v>
      </c>
      <c r="M279" s="101"/>
      <c r="N279" s="91">
        <f ca="1">IFERROR(__xludf.DUMMYFUNCTION("IMPORTRANGE(""https://docs.google.com/spreadsheets/d/1Yj_ptqi66GCucihVvJfMjLAmec39IyEx_6qawtMGysU/edit?usp=sharing"",""สบก!CM90"")"),0)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IFERROR(__xludf.DUMMYFUNCTION("IMPORTRANGE(""https://docs.google.com/spreadsheets/d/1IYY_tgx_IHuhSq3AJ5eI5OnqOPBNLWSHKh2a30DoXe8/edit?usp=sharing"",""ยะลา!J191"")"),0)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IFERROR(__xludf.DUMMYFUNCTION("IMPORTRANGE(""https://docs.google.com/spreadsheets/d/1IYY_tgx_IHuhSq3AJ5eI5OnqOPBNLWSHKh2a30DoXe8/edit?usp=sharing"",""ยะลา!J192"")"),0)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IFERROR(__xludf.DUMMYFUNCTION("IMPORTRANGE(""https://docs.google.com/spreadsheets/d/1IYY_tgx_IHuhSq3AJ5eI5OnqOPBNLWSHKh2a30DoXe8/edit?usp=sharing"",""ยะลา!J193"")"),0)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IFERROR(__xludf.DUMMYFUNCTION("IMPORTRANGE(""https://docs.google.com/spreadsheets/d/1IYY_tgx_IHuhSq3AJ5eI5OnqOPBNLWSHKh2a30DoXe8/edit?usp=sharing"",""ยะลา!J194"")"),0)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IFERROR(__xludf.DUMMYFUNCTION("IMPORTRANGE(""https://docs.google.com/spreadsheets/d/1IYY_tgx_IHuhSq3AJ5eI5OnqOPBNLWSHKh2a30DoXe8/edit?usp=sharing"",""ยะลา!I195"")"),0)</f>
        <v>0</v>
      </c>
      <c r="J285" s="195">
        <f ca="1">IFERROR(__xludf.DUMMYFUNCTION("IMPORTRANGE(""https://docs.google.com/spreadsheets/d/1IYY_tgx_IHuhSq3AJ5eI5OnqOPBNLWSHKh2a30DoXe8/edit?usp=sharing"",""ยะลา!J195"")"),0)</f>
        <v>0</v>
      </c>
      <c r="K285" s="167">
        <f ca="1">IF(I285&gt;0,J285*100/I285,0)</f>
        <v>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IFERROR(__xludf.DUMMYFUNCTION("IMPORTRANGE(""https://docs.google.com/spreadsheets/d/1IYY_tgx_IHuhSq3AJ5eI5OnqOPBNLWSHKh2a30DoXe8/edit?usp=sharing"",""ยะลา!J196"")"),0)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IFERROR(__xludf.DUMMYFUNCTION("IMPORTRANGE(""https://docs.google.com/spreadsheets/d/1IYY_tgx_IHuhSq3AJ5eI5OnqOPBNLWSHKh2a30DoXe8/edit?usp=sharing"",""ยะลา!J197"")"),0)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IFERROR(__xludf.DUMMYFUNCTION("IMPORTRANGE(""https://docs.google.com/spreadsheets/d/1IYY_tgx_IHuhSq3AJ5eI5OnqOPBNLWSHKh2a30DoXe8/edit?usp=sharing"",""ยะลา!I199"")"),0)</f>
        <v>0</v>
      </c>
      <c r="J289" s="322">
        <f ca="1">IFERROR(__xludf.DUMMYFUNCTION("IMPORTRANGE(""https://docs.google.com/spreadsheets/d/1IYY_tgx_IHuhSq3AJ5eI5OnqOPBNLWSHKh2a30DoXe8/edit?usp=sharing"",""ยะลา!J199"")"),0)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2" t="s">
        <v>17</v>
      </c>
      <c r="E290" s="573"/>
      <c r="F290" s="573"/>
      <c r="G290" s="573"/>
      <c r="H290" s="153" t="s">
        <v>12</v>
      </c>
      <c r="I290" s="194"/>
      <c r="J290" s="194"/>
      <c r="K290" s="230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3">
      <c r="A293" s="162"/>
      <c r="B293" s="163"/>
      <c r="C293" s="163" t="s">
        <v>16</v>
      </c>
      <c r="D293" s="574" t="s">
        <v>20</v>
      </c>
      <c r="E293" s="575"/>
      <c r="F293" s="575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IFERROR(__xludf.DUMMYFUNCTION("IMPORTRANGE(""https://docs.google.com/spreadsheets/d/1Yj_ptqi66GCucihVvJfMjLAmec39IyEx_6qawtMGysU/edit?usp=sharing"",""สบก!CT90"")"),0)</f>
        <v>0</v>
      </c>
      <c r="N294" s="174">
        <f ca="1">IFERROR(__xludf.DUMMYFUNCTION("IMPORTRANGE(""https://docs.google.com/spreadsheets/d/1Yj_ptqi66GCucihVvJfMjLAmec39IyEx_6qawtMGysU/edit?usp=sharing"",""สบก!CU90"")"),0)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IFERROR(__xludf.DUMMYFUNCTION("IMPORTRANGE(""https://docs.google.com/spreadsheets/d/1Yj_ptqi66GCucihVvJfMjLAmec39IyEx_6qawtMGysU/edit?usp=sharing"",""สบก!CP90"")"),0)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IFERROR(__xludf.DUMMYFUNCTION("IMPORTRANGE(""https://docs.google.com/spreadsheets/d/1Yj_ptqi66GCucihVvJfMjLAmec39IyEx_6qawtMGysU/edit?usp=sharing"",""สบก!CQ90"")"),0)</f>
        <v>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6" t="s">
        <v>23</v>
      </c>
      <c r="E297" s="575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IFERROR(__xludf.DUMMYFUNCTION("IMPORTRANGE(""https://docs.google.com/spreadsheets/d/1Yj_ptqi66GCucihVvJfMjLAmec39IyEx_6qawtMGysU/edit?usp=sharing"",""สบก!CR90"")"),0)</f>
        <v>0</v>
      </c>
      <c r="M298" s="101"/>
      <c r="N298" s="91">
        <f ca="1">IFERROR(__xludf.DUMMYFUNCTION("IMPORTRANGE(""https://docs.google.com/spreadsheets/d/1Yj_ptqi66GCucihVvJfMjLAmec39IyEx_6qawtMGysU/edit?usp=sharing"",""สบก!CV90"")"),0)</f>
        <v>0</v>
      </c>
      <c r="O298" s="101">
        <f ca="1">IF(L298&gt;0,N298*100/L298,0)</f>
        <v>0</v>
      </c>
      <c r="P298" s="101"/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IFERROR(__xludf.DUMMYFUNCTION("IMPORTRANGE(""https://docs.google.com/spreadsheets/d/1IYY_tgx_IHuhSq3AJ5eI5OnqOPBNLWSHKh2a30DoXe8/edit?usp=sharing"",""ยะลา!J205"")"),0)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IFERROR(__xludf.DUMMYFUNCTION("IMPORTRANGE(""https://docs.google.com/spreadsheets/d/1IYY_tgx_IHuhSq3AJ5eI5OnqOPBNLWSHKh2a30DoXe8/edit?usp=sharing"",""ยะลา!J206"")"),0)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IFERROR(__xludf.DUMMYFUNCTION("IMPORTRANGE(""https://docs.google.com/spreadsheets/d/1IYY_tgx_IHuhSq3AJ5eI5OnqOPBNLWSHKh2a30DoXe8/edit?usp=sharing"",""ยะลา!J207"")"),0)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IFERROR(__xludf.DUMMYFUNCTION("IMPORTRANGE(""https://docs.google.com/spreadsheets/d/1IYY_tgx_IHuhSq3AJ5eI5OnqOPBNLWSHKh2a30DoXe8/edit?usp=sharing"",""ยะลา!J208"")"),0)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IFERROR(__xludf.DUMMYFUNCTION("IMPORTRANGE(""https://docs.google.com/spreadsheets/d/1IYY_tgx_IHuhSq3AJ5eI5OnqOPBNLWSHKh2a30DoXe8/edit?usp=sharing"",""ยะลา!I209"")"),0)</f>
        <v>0</v>
      </c>
      <c r="J304" s="210">
        <f ca="1">IFERROR(__xludf.DUMMYFUNCTION("IMPORTRANGE(""https://docs.google.com/spreadsheets/d/1IYY_tgx_IHuhSq3AJ5eI5OnqOPBNLWSHKh2a30DoXe8/edit?usp=sharing"",""ยะลา!J209"")"),0)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IFERROR(__xludf.DUMMYFUNCTION("IMPORTRANGE(""https://docs.google.com/spreadsheets/d/1IYY_tgx_IHuhSq3AJ5eI5OnqOPBNLWSHKh2a30DoXe8/edit?usp=sharing"",""ยะลา!I211"")"),0)</f>
        <v>0</v>
      </c>
      <c r="J306" s="210">
        <f ca="1">IFERROR(__xludf.DUMMYFUNCTION("IMPORTRANGE(""https://docs.google.com/spreadsheets/d/1IYY_tgx_IHuhSq3AJ5eI5OnqOPBNLWSHKh2a30DoXe8/edit?usp=sharing"",""ยะลา!J211"")"),0)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IFERROR(__xludf.DUMMYFUNCTION("IMPORTRANGE(""https://docs.google.com/spreadsheets/d/1IYY_tgx_IHuhSq3AJ5eI5OnqOPBNLWSHKh2a30DoXe8/edit?usp=sharing"",""ยะลา!J212"")"),0)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IFERROR(__xludf.DUMMYFUNCTION("IMPORTRANGE(""https://docs.google.com/spreadsheets/d/1IYY_tgx_IHuhSq3AJ5eI5OnqOPBNLWSHKh2a30DoXe8/edit?usp=sharing"",""ยะลา!J213"")"),0)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IFERROR(__xludf.DUMMYFUNCTION("IMPORTRANGE(""https://docs.google.com/spreadsheets/d/1IYY_tgx_IHuhSq3AJ5eI5OnqOPBNLWSHKh2a30DoXe8/edit?usp=sharing"",""ยะลา!I214"")"),0)</f>
        <v>0</v>
      </c>
      <c r="J309" s="339">
        <f ca="1">IFERROR(__xludf.DUMMYFUNCTION("IMPORTRANGE(""https://docs.google.com/spreadsheets/d/1IYY_tgx_IHuhSq3AJ5eI5OnqOPBNLWSHKh2a30DoXe8/edit?usp=sharing"",""ยะลา!J214"")"),0)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2" t="s">
        <v>17</v>
      </c>
      <c r="E310" s="573"/>
      <c r="F310" s="573"/>
      <c r="G310" s="573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3">
      <c r="A313" s="162"/>
      <c r="B313" s="163"/>
      <c r="C313" s="163" t="s">
        <v>16</v>
      </c>
      <c r="D313" s="574" t="s">
        <v>20</v>
      </c>
      <c r="E313" s="575"/>
      <c r="F313" s="575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IFERROR(__xludf.DUMMYFUNCTION("IMPORTRANGE(""https://docs.google.com/spreadsheets/d/1Yj_ptqi66GCucihVvJfMjLAmec39IyEx_6qawtMGysU/edit?usp=sharing"",""สบก!DC90"")"),0)</f>
        <v>0</v>
      </c>
      <c r="N314" s="174">
        <f ca="1">IFERROR(__xludf.DUMMYFUNCTION("IMPORTRANGE(""https://docs.google.com/spreadsheets/d/1Yj_ptqi66GCucihVvJfMjLAmec39IyEx_6qawtMGysU/edit?usp=sharing"",""สบก!DD90"")"),0)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IFERROR(__xludf.DUMMYFUNCTION("IMPORTRANGE(""https://docs.google.com/spreadsheets/d/1Yj_ptqi66GCucihVvJfMjLAmec39IyEx_6qawtMGysU/edit?usp=sharing"",""สบก!CY90"")"),0)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IFERROR(__xludf.DUMMYFUNCTION("IMPORTRANGE(""https://docs.google.com/spreadsheets/d/1Yj_ptqi66GCucihVvJfMjLAmec39IyEx_6qawtMGysU/edit?usp=sharing"",""สบก!CZ90"")"),0)</f>
        <v>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6" t="s">
        <v>23</v>
      </c>
      <c r="E317" s="575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IFERROR(__xludf.DUMMYFUNCTION("IMPORTRANGE(""https://docs.google.com/spreadsheets/d/1Yj_ptqi66GCucihVvJfMjLAmec39IyEx_6qawtMGysU/edit?usp=sharing"",""สบก!DA90"")"),0)</f>
        <v>0</v>
      </c>
      <c r="M318" s="101"/>
      <c r="N318" s="91">
        <f ca="1">IFERROR(__xludf.DUMMYFUNCTION("IMPORTRANGE(""https://docs.google.com/spreadsheets/d/1Yj_ptqi66GCucihVvJfMjLAmec39IyEx_6qawtMGysU/edit?usp=sharing"",""สบก!DE90"")"),0)</f>
        <v>0</v>
      </c>
      <c r="O318" s="101">
        <f ca="1">IF(L318&gt;0,N318*100/L318,0)</f>
        <v>0</v>
      </c>
      <c r="P318" s="101"/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IFERROR(__xludf.DUMMYFUNCTION("IMPORTRANGE(""https://docs.google.com/spreadsheets/d/1IYY_tgx_IHuhSq3AJ5eI5OnqOPBNLWSHKh2a30DoXe8/edit?usp=sharing"",""ยะลา!J220"")"),0)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IFERROR(__xludf.DUMMYFUNCTION("IMPORTRANGE(""https://docs.google.com/spreadsheets/d/1IYY_tgx_IHuhSq3AJ5eI5OnqOPBNLWSHKh2a30DoXe8/edit?usp=sharing"",""ยะลา!J221"")"),0)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IFERROR(__xludf.DUMMYFUNCTION("IMPORTRANGE(""https://docs.google.com/spreadsheets/d/1IYY_tgx_IHuhSq3AJ5eI5OnqOPBNLWSHKh2a30DoXe8/edit?usp=sharing"",""ยะลา!J222"")"),0)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IFERROR(__xludf.DUMMYFUNCTION("IMPORTRANGE(""https://docs.google.com/spreadsheets/d/1IYY_tgx_IHuhSq3AJ5eI5OnqOPBNLWSHKh2a30DoXe8/edit?usp=sharing"",""ยะลา!J223"")"),0)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IFERROR(__xludf.DUMMYFUNCTION("IMPORTRANGE(""https://docs.google.com/spreadsheets/d/1IYY_tgx_IHuhSq3AJ5eI5OnqOPBNLWSHKh2a30DoXe8/edit?usp=sharing"",""ยะลา!I224"")"),0)</f>
        <v>0</v>
      </c>
      <c r="J324" s="210">
        <f ca="1">IFERROR(__xludf.DUMMYFUNCTION("IMPORTRANGE(""https://docs.google.com/spreadsheets/d/1IYY_tgx_IHuhSq3AJ5eI5OnqOPBNLWSHKh2a30DoXe8/edit?usp=sharing"",""ยะลา!J224"")"),0)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IFERROR(__xludf.DUMMYFUNCTION("IMPORTRANGE(""https://docs.google.com/spreadsheets/d/1IYY_tgx_IHuhSq3AJ5eI5OnqOPBNLWSHKh2a30DoXe8/edit?usp=sharing"",""ยะลา!J225"")"),0)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IFERROR(__xludf.DUMMYFUNCTION("IMPORTRANGE(""https://docs.google.com/spreadsheets/d/1IYY_tgx_IHuhSq3AJ5eI5OnqOPBNLWSHKh2a30DoXe8/edit?usp=sharing"",""ยะลา!J226"")"),0)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IFERROR(__xludf.DUMMYFUNCTION("IMPORTRANGE(""https://docs.google.com/spreadsheets/d/1IYY_tgx_IHuhSq3AJ5eI5OnqOPBNLWSHKh2a30DoXe8/edit?usp=sharing"",""ยะลา!I228"")"),80)</f>
        <v>80</v>
      </c>
      <c r="J328" s="345">
        <f ca="1">IFERROR(__xludf.DUMMYFUNCTION("IMPORTRANGE(""https://docs.google.com/spreadsheets/d/1IYY_tgx_IHuhSq3AJ5eI5OnqOPBNLWSHKh2a30DoXe8/edit?usp=sharing"",""ยะลา!J228"")"),184)</f>
        <v>184</v>
      </c>
      <c r="K328" s="323">
        <f ca="1">IF(I328&gt;0,J328*100/I328,0)</f>
        <v>230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2" t="s">
        <v>17</v>
      </c>
      <c r="E329" s="573"/>
      <c r="F329" s="573"/>
      <c r="G329" s="573"/>
      <c r="H329" s="153" t="s">
        <v>12</v>
      </c>
      <c r="I329" s="166"/>
      <c r="J329" s="166"/>
      <c r="K329" s="167"/>
      <c r="L329" s="156">
        <f t="shared" ref="L329:N329" ca="1" si="98">L330+L331</f>
        <v>1024850</v>
      </c>
      <c r="M329" s="156">
        <f t="shared" ca="1" si="98"/>
        <v>1063850</v>
      </c>
      <c r="N329" s="156">
        <f t="shared" ca="1" si="98"/>
        <v>979543.56</v>
      </c>
      <c r="O329" s="155">
        <f t="shared" ref="O329:O331" ca="1" si="99">IF(L329&gt;0,N329*100/L329,0)</f>
        <v>95.579212567692835</v>
      </c>
      <c r="P329" s="155">
        <f t="shared" ref="P329:P331" ca="1" si="100">IF(M329&gt;0,N329*100/M329,0)</f>
        <v>92.075345208441036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1024850</v>
      </c>
      <c r="M331" s="161">
        <f t="shared" ca="1" si="102"/>
        <v>1063850</v>
      </c>
      <c r="N331" s="161">
        <f t="shared" ca="1" si="102"/>
        <v>979543.56</v>
      </c>
      <c r="O331" s="160">
        <f t="shared" ca="1" si="99"/>
        <v>95.579212567692835</v>
      </c>
      <c r="P331" s="160">
        <f t="shared" ca="1" si="100"/>
        <v>92.075345208441036</v>
      </c>
    </row>
    <row r="332" spans="1:16" ht="21.75" customHeight="1" x14ac:dyDescent="0.3">
      <c r="A332" s="162"/>
      <c r="B332" s="163"/>
      <c r="C332" s="163" t="s">
        <v>16</v>
      </c>
      <c r="D332" s="574" t="s">
        <v>20</v>
      </c>
      <c r="E332" s="575"/>
      <c r="F332" s="575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877850</v>
      </c>
      <c r="M333" s="173">
        <f ca="1">IFERROR(__xludf.DUMMYFUNCTION("IMPORTRANGE(""https://docs.google.com/spreadsheets/d/1Yj_ptqi66GCucihVvJfMjLAmec39IyEx_6qawtMGysU/edit?usp=sharing"",""สบก!DL90"")"),916850)</f>
        <v>916850</v>
      </c>
      <c r="N333" s="174">
        <f ca="1">IFERROR(__xludf.DUMMYFUNCTION("IMPORTRANGE(""https://docs.google.com/spreadsheets/d/1Yj_ptqi66GCucihVvJfMjLAmec39IyEx_6qawtMGysU/edit?usp=sharing"",""สบก!DM90"")"),832543.56)</f>
        <v>832543.56</v>
      </c>
      <c r="O333" s="175">
        <f ca="1">IF(L333&gt;0,N333*100/L333,0)</f>
        <v>94.838931480321236</v>
      </c>
      <c r="P333" s="175">
        <f ca="1">IF(M333&gt;0,N333*100/M333,0)</f>
        <v>90.804772863609102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IFERROR(__xludf.DUMMYFUNCTION("IMPORTRANGE(""https://docs.google.com/spreadsheets/d/1Yj_ptqi66GCucihVvJfMjLAmec39IyEx_6qawtMGysU/edit?usp=sharing"",""สบก!DH90"")"),624000)</f>
        <v>624000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IFERROR(__xludf.DUMMYFUNCTION("IMPORTRANGE(""https://docs.google.com/spreadsheets/d/1Yj_ptqi66GCucihVvJfMjLAmec39IyEx_6qawtMGysU/edit?usp=sharing"",""สบก!DI90"")"),253850)</f>
        <v>253850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6" t="s">
        <v>23</v>
      </c>
      <c r="E336" s="575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IFERROR(__xludf.DUMMYFUNCTION("IMPORTRANGE(""https://docs.google.com/spreadsheets/d/1Yj_ptqi66GCucihVvJfMjLAmec39IyEx_6qawtMGysU/edit?usp=sharing"",""สบก!DJ90"")"),147000)</f>
        <v>147000</v>
      </c>
      <c r="M337" s="101">
        <f ca="1">L337</f>
        <v>147000</v>
      </c>
      <c r="N337" s="91">
        <f ca="1">IFERROR(__xludf.DUMMYFUNCTION("IMPORTRANGE(""https://docs.google.com/spreadsheets/d/1Yj_ptqi66GCucihVvJfMjLAmec39IyEx_6qawtMGysU/edit?usp=sharing"",""สบก!DN90"")"),147000)</f>
        <v>147000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IFERROR(__xludf.DUMMYFUNCTION("IMPORTRANGE(""https://docs.google.com/spreadsheets/d/1IYY_tgx_IHuhSq3AJ5eI5OnqOPBNLWSHKh2a30DoXe8/edit?usp=sharing"",""ยะลา!I234"")"),0)</f>
        <v>0</v>
      </c>
      <c r="J339" s="194">
        <f ca="1">IFERROR(__xludf.DUMMYFUNCTION("IMPORTRANGE(""https://docs.google.com/spreadsheets/d/1IYY_tgx_IHuhSq3AJ5eI5OnqOPBNLWSHKh2a30DoXe8/edit?usp=sharing"",""ยะลา!J234"")"),158)</f>
        <v>158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IFERROR(__xludf.DUMMYFUNCTION("IMPORTRANGE(""https://docs.google.com/spreadsheets/d/1IYY_tgx_IHuhSq3AJ5eI5OnqOPBNLWSHKh2a30DoXe8/edit?usp=sharing"",""ยะลา!I235"")"),880)</f>
        <v>880</v>
      </c>
      <c r="J340" s="194">
        <f ca="1">IFERROR(__xludf.DUMMYFUNCTION("IMPORTRANGE(""https://docs.google.com/spreadsheets/d/1IYY_tgx_IHuhSq3AJ5eI5OnqOPBNLWSHKh2a30DoXe8/edit?usp=sharing"",""ยะลา!J235"")"),957.76)</f>
        <v>957.76</v>
      </c>
      <c r="K340" s="348">
        <f t="shared" ca="1" si="103"/>
        <v>108.83636363636364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IFERROR(__xludf.DUMMYFUNCTION("IMPORTRANGE(""https://docs.google.com/spreadsheets/d/1IYY_tgx_IHuhSq3AJ5eI5OnqOPBNLWSHKh2a30DoXe8/edit?usp=sharing"",""ยะลา!I236"")"),80)</f>
        <v>80</v>
      </c>
      <c r="J341" s="194">
        <f ca="1">IFERROR(__xludf.DUMMYFUNCTION("IMPORTRANGE(""https://docs.google.com/spreadsheets/d/1IYY_tgx_IHuhSq3AJ5eI5OnqOPBNLWSHKh2a30DoXe8/edit?usp=sharing"",""ยะลา!J236"")"),184)</f>
        <v>184</v>
      </c>
      <c r="K341" s="348">
        <f t="shared" ca="1" si="103"/>
        <v>230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IFERROR(__xludf.DUMMYFUNCTION("IMPORTRANGE(""https://docs.google.com/spreadsheets/d/1IYY_tgx_IHuhSq3AJ5eI5OnqOPBNLWSHKh2a30DoXe8/edit?usp=sharing"",""ยะลา!I237"")"),0)</f>
        <v>0</v>
      </c>
      <c r="J342" s="194">
        <f ca="1">IFERROR(__xludf.DUMMYFUNCTION("IMPORTRANGE(""https://docs.google.com/spreadsheets/d/1IYY_tgx_IHuhSq3AJ5eI5OnqOPBNLWSHKh2a30DoXe8/edit?usp=sharing"",""ยะลา!J237"")"),1197.82)</f>
        <v>1197.82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IFERROR(__xludf.DUMMYFUNCTION("IMPORTRANGE(""https://docs.google.com/spreadsheets/d/1IYY_tgx_IHuhSq3AJ5eI5OnqOPBNLWSHKh2a30DoXe8/edit?usp=sharing"",""ยะลา!I238"")"),80)</f>
        <v>80</v>
      </c>
      <c r="J343" s="194">
        <f ca="1">IFERROR(__xludf.DUMMYFUNCTION("IMPORTRANGE(""https://docs.google.com/spreadsheets/d/1IYY_tgx_IHuhSq3AJ5eI5OnqOPBNLWSHKh2a30DoXe8/edit?usp=sharing"",""ยะลา!J238"")"),0)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IFERROR(__xludf.DUMMYFUNCTION("IMPORTRANGE(""https://docs.google.com/spreadsheets/d/1IYY_tgx_IHuhSq3AJ5eI5OnqOPBNLWSHKh2a30DoXe8/edit?usp=sharing"",""ยะลา!I239"")"),0)</f>
        <v>0</v>
      </c>
      <c r="J344" s="194">
        <f ca="1">IFERROR(__xludf.DUMMYFUNCTION("IMPORTRANGE(""https://docs.google.com/spreadsheets/d/1IYY_tgx_IHuhSq3AJ5eI5OnqOPBNLWSHKh2a30DoXe8/edit?usp=sharing"",""ยะลา!J239"")"),0)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IFERROR(__xludf.DUMMYFUNCTION("IMPORTRANGE(""https://docs.google.com/spreadsheets/d/1IYY_tgx_IHuhSq3AJ5eI5OnqOPBNLWSHKh2a30DoXe8/edit?usp=sharing"",""ยะลา!I240"")"),80)</f>
        <v>80</v>
      </c>
      <c r="J345" s="194">
        <f ca="1">IFERROR(__xludf.DUMMYFUNCTION("IMPORTRANGE(""https://docs.google.com/spreadsheets/d/1IYY_tgx_IHuhSq3AJ5eI5OnqOPBNLWSHKh2a30DoXe8/edit?usp=sharing"",""ยะลา!J240"")"),184)</f>
        <v>184</v>
      </c>
      <c r="K345" s="348">
        <f t="shared" ca="1" si="103"/>
        <v>230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IFERROR(__xludf.DUMMYFUNCTION("IMPORTRANGE(""https://docs.google.com/spreadsheets/d/1IYY_tgx_IHuhSq3AJ5eI5OnqOPBNLWSHKh2a30DoXe8/edit?usp=sharing"",""ยะลา!I241"")"),0)</f>
        <v>0</v>
      </c>
      <c r="J346" s="194">
        <f ca="1">IFERROR(__xludf.DUMMYFUNCTION("IMPORTRANGE(""https://docs.google.com/spreadsheets/d/1IYY_tgx_IHuhSq3AJ5eI5OnqOPBNLWSHKh2a30DoXe8/edit?usp=sharing"",""ยะลา!J241"")"),1174.96)</f>
        <v>1174.96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IFERROR(__xludf.DUMMYFUNCTION("IMPORTRANGE(""https://docs.google.com/spreadsheets/d/1IYY_tgx_IHuhSq3AJ5eI5OnqOPBNLWSHKh2a30DoXe8/edit?usp=sharing"",""ยะลา!L242"")"),607917)</f>
        <v>607917</v>
      </c>
      <c r="M347" s="364"/>
      <c r="N347" s="364">
        <f ca="1">IFERROR(__xludf.DUMMYFUNCTION("IMPORTRANGE(""https://docs.google.com/spreadsheets/d/1IYY_tgx_IHuhSq3AJ5eI5OnqOPBNLWSHKh2a30DoXe8/edit?usp=sharing"",""ยะลา!M242"")"),528087.95)</f>
        <v>528087.94999999995</v>
      </c>
      <c r="O347" s="364">
        <f ca="1">+IF(L347&gt;0,N347*100/L347,0)</f>
        <v>86.86842940730395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IFERROR(__xludf.DUMMYFUNCTION("IMPORTRANGE(""https://docs.google.com/spreadsheets/d/1IYY_tgx_IHuhSq3AJ5eI5OnqOPBNLWSHKh2a30DoXe8/edit?usp=sharing"",""ยะลา!I244"")"),0)</f>
        <v>0</v>
      </c>
      <c r="J349" s="377">
        <f ca="1">IFERROR(__xludf.DUMMYFUNCTION("IMPORTRANGE(""https://docs.google.com/spreadsheets/d/1IYY_tgx_IHuhSq3AJ5eI5OnqOPBNLWSHKh2a30DoXe8/edit?usp=sharing"",""ยะลา!J244"")"),0)</f>
        <v>0</v>
      </c>
      <c r="K349" s="378">
        <f t="shared" ref="K349:K350" ca="1" si="104">IF(I349&gt;0,J349*100/I349,0)</f>
        <v>0</v>
      </c>
      <c r="L349" s="379">
        <f ca="1">IFERROR(__xludf.DUMMYFUNCTION("IMPORTRANGE(""https://docs.google.com/spreadsheets/d/1IYY_tgx_IHuhSq3AJ5eI5OnqOPBNLWSHKh2a30DoXe8/edit?usp=sharing"",""ยะลา!L244"")"),0)</f>
        <v>0</v>
      </c>
      <c r="M349" s="379"/>
      <c r="N349" s="379">
        <f ca="1">IFERROR(__xludf.DUMMYFUNCTION("IMPORTRANGE(""https://docs.google.com/spreadsheets/d/1IYY_tgx_IHuhSq3AJ5eI5OnqOPBNLWSHKh2a30DoXe8/edit?usp=sharing"",""ยะลา!M244"")"),0)</f>
        <v>0</v>
      </c>
      <c r="O349" s="379">
        <f ca="1">+IF(L349&gt;0,N349*100/L349,0)</f>
        <v>0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IFERROR(__xludf.DUMMYFUNCTION("IMPORTRANGE(""https://docs.google.com/spreadsheets/d/1IYY_tgx_IHuhSq3AJ5eI5OnqOPBNLWSHKh2a30DoXe8/edit?usp=sharing"",""ยะลา!I245"")"),0)</f>
        <v>0</v>
      </c>
      <c r="J350" s="377">
        <f ca="1">IFERROR(__xludf.DUMMYFUNCTION("IMPORTRANGE(""https://docs.google.com/spreadsheets/d/1IYY_tgx_IHuhSq3AJ5eI5OnqOPBNLWSHKh2a30DoXe8/edit?usp=sharing"",""ยะลา!J245"")"),0)</f>
        <v>0</v>
      </c>
      <c r="K350" s="378">
        <f t="shared" ca="1" si="104"/>
        <v>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IFERROR(__xludf.DUMMYFUNCTION("IMPORTRANGE(""https://docs.google.com/spreadsheets/d/1IYY_tgx_IHuhSq3AJ5eI5OnqOPBNLWSHKh2a30DoXe8/edit?usp=sharing"",""ยะลา!L246"")"),0)</f>
        <v>0</v>
      </c>
      <c r="M351" s="168"/>
      <c r="N351" s="168">
        <f ca="1">IFERROR(__xludf.DUMMYFUNCTION("IMPORTRANGE(""https://docs.google.com/spreadsheets/d/1IYY_tgx_IHuhSq3AJ5eI5OnqOPBNLWSHKh2a30DoXe8/edit?usp=sharing"",""ยะลา!M246"")"),0)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IFERROR(__xludf.DUMMYFUNCTION("IMPORTRANGE(""https://docs.google.com/spreadsheets/d/1IYY_tgx_IHuhSq3AJ5eI5OnqOPBNLWSHKh2a30DoXe8/edit?usp=sharing"",""ยะลา!L247"")"),0)</f>
        <v>0</v>
      </c>
      <c r="M352" s="169"/>
      <c r="N352" s="168">
        <f ca="1">IFERROR(__xludf.DUMMYFUNCTION("IMPORTRANGE(""https://docs.google.com/spreadsheets/d/1IYY_tgx_IHuhSq3AJ5eI5OnqOPBNLWSHKh2a30DoXe8/edit?usp=sharing"",""ยะลา!M247"")"),0)</f>
        <v>0</v>
      </c>
      <c r="O352" s="169">
        <f t="shared" ca="1" si="105"/>
        <v>0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IFERROR(__xludf.DUMMYFUNCTION("IMPORTRANGE(""https://docs.google.com/spreadsheets/d/1IYY_tgx_IHuhSq3AJ5eI5OnqOPBNLWSHKh2a30DoXe8/edit?usp=sharing"",""ยะลา!L248"")"),0)</f>
        <v>0</v>
      </c>
      <c r="M353" s="175"/>
      <c r="N353" s="175">
        <f ca="1">IFERROR(__xludf.DUMMYFUNCTION("IMPORTRANGE(""https://docs.google.com/spreadsheets/d/1IYY_tgx_IHuhSq3AJ5eI5OnqOPBNLWSHKh2a30DoXe8/edit?usp=sharing"",""ยะลา!M248"")"),0)</f>
        <v>0</v>
      </c>
      <c r="O353" s="175">
        <f t="shared" ca="1" si="105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IFERROR(__xludf.DUMMYFUNCTION("IMPORTRANGE(""https://docs.google.com/spreadsheets/d/1IYY_tgx_IHuhSq3AJ5eI5OnqOPBNLWSHKh2a30DoXe8/edit?usp=sharing"",""ยะลา!L249"")"),0)</f>
        <v>0</v>
      </c>
      <c r="M354" s="175"/>
      <c r="N354" s="172">
        <f ca="1">IFERROR(__xludf.DUMMYFUNCTION("IMPORTRANGE(""https://docs.google.com/spreadsheets/d/1IYY_tgx_IHuhSq3AJ5eI5OnqOPBNLWSHKh2a30DoXe8/edit?usp=sharing"",""ยะลา!M249"")"),0)</f>
        <v>0</v>
      </c>
      <c r="O354" s="175">
        <f t="shared" ca="1" si="105"/>
        <v>0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IFERROR(__xludf.DUMMYFUNCTION("IMPORTRANGE(""https://docs.google.com/spreadsheets/d/1IYY_tgx_IHuhSq3AJ5eI5OnqOPBNLWSHKh2a30DoXe8/edit?usp=sharing"",""ยะลา!M250"")"),0)</f>
        <v>0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IFERROR(__xludf.DUMMYFUNCTION("IMPORTRANGE(""https://docs.google.com/spreadsheets/d/1IYY_tgx_IHuhSq3AJ5eI5OnqOPBNLWSHKh2a30DoXe8/edit?usp=sharing"",""ยะลา!M251"")"),0)</f>
        <v>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IFERROR(__xludf.DUMMYFUNCTION("IMPORTRANGE(""https://docs.google.com/spreadsheets/d/1IYY_tgx_IHuhSq3AJ5eI5OnqOPBNLWSHKh2a30DoXe8/edit?usp=sharing"",""ยะลา!M252"")"),0)</f>
        <v>0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IFERROR(__xludf.DUMMYFUNCTION("IMPORTRANGE(""https://docs.google.com/spreadsheets/d/1IYY_tgx_IHuhSq3AJ5eI5OnqOPBNLWSHKh2a30DoXe8/edit?usp=sharing"",""ยะลา!M253"")"),0)</f>
        <v>0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IFERROR(__xludf.DUMMYFUNCTION("IMPORTRANGE(""https://docs.google.com/spreadsheets/d/1IYY_tgx_IHuhSq3AJ5eI5OnqOPBNLWSHKh2a30DoXe8/edit?usp=sharing"",""ยะลา!J255"")"),0)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IFERROR(__xludf.DUMMYFUNCTION("IMPORTRANGE(""https://docs.google.com/spreadsheets/d/1IYY_tgx_IHuhSq3AJ5eI5OnqOPBNLWSHKh2a30DoXe8/edit?usp=sharing"",""ยะลา!J256"")"),0)</f>
        <v>0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IFERROR(__xludf.DUMMYFUNCTION("IMPORTRANGE(""https://docs.google.com/spreadsheets/d/1IYY_tgx_IHuhSq3AJ5eI5OnqOPBNLWSHKh2a30DoXe8/edit?usp=sharing"",""ยะลา!J257"")"),0)</f>
        <v>0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IFERROR(__xludf.DUMMYFUNCTION("IMPORTRANGE(""https://docs.google.com/spreadsheets/d/1IYY_tgx_IHuhSq3AJ5eI5OnqOPBNLWSHKh2a30DoXe8/edit?usp=sharing"",""ยะลา!J258"")"),0)</f>
        <v>0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IFERROR(__xludf.DUMMYFUNCTION("IMPORTRANGE(""https://docs.google.com/spreadsheets/d/1IYY_tgx_IHuhSq3AJ5eI5OnqOPBNLWSHKh2a30DoXe8/edit?usp=sharing"",""ยะลา!J166"")"),0)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IFERROR(__xludf.DUMMYFUNCTION("IMPORTRANGE(""https://docs.google.com/spreadsheets/d/1IYY_tgx_IHuhSq3AJ5eI5OnqOPBNLWSHKh2a30DoXe8/edit?usp=sharing"",""ยะลา!J166"")"),0)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IFERROR(__xludf.DUMMYFUNCTION("IMPORTRANGE(""https://docs.google.com/spreadsheets/d/1IYY_tgx_IHuhSq3AJ5eI5OnqOPBNLWSHKh2a30DoXe8/edit?usp=sharing"",""ยะลา!J166"")"),0)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IFERROR(__xludf.DUMMYFUNCTION("IMPORTRANGE(""https://docs.google.com/spreadsheets/d/1IYY_tgx_IHuhSq3AJ5eI5OnqOPBNLWSHKh2a30DoXe8/edit?usp=sharing"",""ยะลา!J166"")"),0)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IFERROR(__xludf.DUMMYFUNCTION("IMPORTRANGE(""https://docs.google.com/spreadsheets/d/1IYY_tgx_IHuhSq3AJ5eI5OnqOPBNLWSHKh2a30DoXe8/edit?usp=sharing"",""ยะลา!I263"")"),0)</f>
        <v>0</v>
      </c>
      <c r="J368" s="194">
        <f ca="1">IFERROR(__xludf.DUMMYFUNCTION("IMPORTRANGE(""https://docs.google.com/spreadsheets/d/1IYY_tgx_IHuhSq3AJ5eI5OnqOPBNLWSHKh2a30DoXe8/edit?usp=sharing"",""ยะลา!J263"")"),0)</f>
        <v>0</v>
      </c>
      <c r="K368" s="167">
        <f t="shared" ca="1" si="106"/>
        <v>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IFERROR(__xludf.DUMMYFUNCTION("IMPORTRANGE(""https://docs.google.com/spreadsheets/d/1IYY_tgx_IHuhSq3AJ5eI5OnqOPBNLWSHKh2a30DoXe8/edit?usp=sharing"",""ยะลา!I164"")"),0)</f>
        <v>0</v>
      </c>
      <c r="J369" s="210">
        <f ca="1">IFERROR(__xludf.DUMMYFUNCTION("IMPORTRANGE(""https://docs.google.com/spreadsheets/d/1IYY_tgx_IHuhSq3AJ5eI5OnqOPBNLWSHKh2a30DoXe8/edit?usp=sharing"",""ยะลา!J164"")"),0)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IFERROR(__xludf.DUMMYFUNCTION("IMPORTRANGE(""https://docs.google.com/spreadsheets/d/1IYY_tgx_IHuhSq3AJ5eI5OnqOPBNLWSHKh2a30DoXe8/edit?usp=sharing"",""ยะลา!I265"")"),0)</f>
        <v>0</v>
      </c>
      <c r="J370" s="210">
        <f ca="1">IFERROR(__xludf.DUMMYFUNCTION("IMPORTRANGE(""https://docs.google.com/spreadsheets/d/1IYY_tgx_IHuhSq3AJ5eI5OnqOPBNLWSHKh2a30DoXe8/edit?usp=sharing"",""ยะลา!J265"")"),0)</f>
        <v>0</v>
      </c>
      <c r="K370" s="167">
        <f t="shared" ca="1" si="106"/>
        <v>0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IFERROR(__xludf.DUMMYFUNCTION("IMPORTRANGE(""https://docs.google.com/spreadsheets/d/1IYY_tgx_IHuhSq3AJ5eI5OnqOPBNLWSHKh2a30DoXe8/edit?usp=sharing"",""ยะลา!I164"")"),0)</f>
        <v>0</v>
      </c>
      <c r="J371" s="195">
        <f ca="1">IFERROR(__xludf.DUMMYFUNCTION("IMPORTRANGE(""https://docs.google.com/spreadsheets/d/1IYY_tgx_IHuhSq3AJ5eI5OnqOPBNLWSHKh2a30DoXe8/edit?usp=sharing"",""ยะลา!J164"")"),0)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IFERROR(__xludf.DUMMYFUNCTION("IMPORTRANGE(""https://docs.google.com/spreadsheets/d/1IYY_tgx_IHuhSq3AJ5eI5OnqOPBNLWSHKh2a30DoXe8/edit?usp=sharing"",""ยะลา!I267"")"),0)</f>
        <v>0</v>
      </c>
      <c r="J372" s="195">
        <f ca="1">IFERROR(__xludf.DUMMYFUNCTION("IMPORTRANGE(""https://docs.google.com/spreadsheets/d/1IYY_tgx_IHuhSq3AJ5eI5OnqOPBNLWSHKh2a30DoXe8/edit?usp=sharing"",""ยะลา!J267"")"),0)</f>
        <v>0</v>
      </c>
      <c r="K372" s="167">
        <f t="shared" ca="1" si="106"/>
        <v>0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IFERROR(__xludf.DUMMYFUNCTION("IMPORTRANGE(""https://docs.google.com/spreadsheets/d/1IYY_tgx_IHuhSq3AJ5eI5OnqOPBNLWSHKh2a30DoXe8/edit?usp=sharing"",""ยะลา!I164"")"),0)</f>
        <v>0</v>
      </c>
      <c r="J373" s="210">
        <f ca="1">IFERROR(__xludf.DUMMYFUNCTION("IMPORTRANGE(""https://docs.google.com/spreadsheets/d/1IYY_tgx_IHuhSq3AJ5eI5OnqOPBNLWSHKh2a30DoXe8/edit?usp=sharing"",""ยะลา!J164"")"),0)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IFERROR(__xludf.DUMMYFUNCTION("IMPORTRANGE(""https://docs.google.com/spreadsheets/d/1IYY_tgx_IHuhSq3AJ5eI5OnqOPBNLWSHKh2a30DoXe8/edit?usp=sharing"",""ยะลา!I164"")"),0)</f>
        <v>0</v>
      </c>
      <c r="J374" s="194">
        <f ca="1">IFERROR(__xludf.DUMMYFUNCTION("IMPORTRANGE(""https://docs.google.com/spreadsheets/d/1IYY_tgx_IHuhSq3AJ5eI5OnqOPBNLWSHKh2a30DoXe8/edit?usp=sharing"",""ยะลา!J164"")"),0)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IFERROR(__xludf.DUMMYFUNCTION("IMPORTRANGE(""https://docs.google.com/spreadsheets/d/1IYY_tgx_IHuhSq3AJ5eI5OnqOPBNLWSHKh2a30DoXe8/edit?usp=sharing"",""ยะลา!I270"")"),0)</f>
        <v>0</v>
      </c>
      <c r="J375" s="194">
        <f ca="1">IFERROR(__xludf.DUMMYFUNCTION("IMPORTRANGE(""https://docs.google.com/spreadsheets/d/1IYY_tgx_IHuhSq3AJ5eI5OnqOPBNLWSHKh2a30DoXe8/edit?usp=sharing"",""ยะลา!J270"")"),0)</f>
        <v>0</v>
      </c>
      <c r="K375" s="167">
        <f t="shared" ref="K375:K377" ca="1" si="107">IF(I375&gt;0,J375*100/I375,0)</f>
        <v>0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IFERROR(__xludf.DUMMYFUNCTION("IMPORTRANGE(""https://docs.google.com/spreadsheets/d/1IYY_tgx_IHuhSq3AJ5eI5OnqOPBNLWSHKh2a30DoXe8/edit?usp=sharing"",""ยะลา!I271"")"),0)</f>
        <v>0</v>
      </c>
      <c r="J376" s="195">
        <f ca="1">IFERROR(__xludf.DUMMYFUNCTION("IMPORTRANGE(""https://docs.google.com/spreadsheets/d/1IYY_tgx_IHuhSq3AJ5eI5OnqOPBNLWSHKh2a30DoXe8/edit?usp=sharing"",""ยะลา!J271"")"),0)</f>
        <v>0</v>
      </c>
      <c r="K376" s="167">
        <f t="shared" ca="1" si="107"/>
        <v>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IFERROR(__xludf.DUMMYFUNCTION("IMPORTRANGE(""https://docs.google.com/spreadsheets/d/1IYY_tgx_IHuhSq3AJ5eI5OnqOPBNLWSHKh2a30DoXe8/edit?usp=sharing"",""ยะลา!I272"")"),0)</f>
        <v>0</v>
      </c>
      <c r="J377" s="210">
        <f ca="1">IFERROR(__xludf.DUMMYFUNCTION("IMPORTRANGE(""https://docs.google.com/spreadsheets/d/1IYY_tgx_IHuhSq3AJ5eI5OnqOPBNLWSHKh2a30DoXe8/edit?usp=sharing"",""ยะลา!J272"")"),0)</f>
        <v>0</v>
      </c>
      <c r="K377" s="167">
        <f t="shared" ca="1" si="107"/>
        <v>0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IFERROR(__xludf.DUMMYFUNCTION("IMPORTRANGE(""https://docs.google.com/spreadsheets/d/1IYY_tgx_IHuhSq3AJ5eI5OnqOPBNLWSHKh2a30DoXe8/edit?usp=sharing"",""ยะลา!J273"")"),0)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IFERROR(__xludf.DUMMYFUNCTION("IMPORTRANGE(""https://docs.google.com/spreadsheets/d/1IYY_tgx_IHuhSq3AJ5eI5OnqOPBNLWSHKh2a30DoXe8/edit?usp=sharing"",""ยะลา!J274"")"),0)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IFERROR(__xludf.DUMMYFUNCTION("IMPORTRANGE(""https://docs.google.com/spreadsheets/d/1IYY_tgx_IHuhSq3AJ5eI5OnqOPBNLWSHKh2a30DoXe8/edit?usp=sharing"",""ยะลา!I275"")"),150)</f>
        <v>150</v>
      </c>
      <c r="J380" s="377">
        <f ca="1">IFERROR(__xludf.DUMMYFUNCTION("IMPORTRANGE(""https://docs.google.com/spreadsheets/d/1IYY_tgx_IHuhSq3AJ5eI5OnqOPBNLWSHKh2a30DoXe8/edit?usp=sharing"",""ยะลา!J275"")"),150)</f>
        <v>150</v>
      </c>
      <c r="K380" s="378">
        <f t="shared" ref="K380:K381" ca="1" si="108">IF(I380&gt;0,J380*100/I380,0)</f>
        <v>100</v>
      </c>
      <c r="L380" s="379">
        <f ca="1">IFERROR(__xludf.DUMMYFUNCTION("IMPORTRANGE(""https://docs.google.com/spreadsheets/d/1IYY_tgx_IHuhSq3AJ5eI5OnqOPBNLWSHKh2a30DoXe8/edit?usp=sharing"",""ยะลา!L275"")"),167610)</f>
        <v>167610</v>
      </c>
      <c r="M380" s="379"/>
      <c r="N380" s="379">
        <f ca="1">IFERROR(__xludf.DUMMYFUNCTION("IMPORTRANGE(""https://docs.google.com/spreadsheets/d/1IYY_tgx_IHuhSq3AJ5eI5OnqOPBNLWSHKh2a30DoXe8/edit?usp=sharing"",""ยะลา!M275"")"),167610)</f>
        <v>167610</v>
      </c>
      <c r="O380" s="379">
        <f ca="1">+IF(L380&gt;0,N380*100/L380,0)</f>
        <v>100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IFERROR(__xludf.DUMMYFUNCTION("IMPORTRANGE(""https://docs.google.com/spreadsheets/d/1IYY_tgx_IHuhSq3AJ5eI5OnqOPBNLWSHKh2a30DoXe8/edit?usp=sharing"",""ยะลา!I276"")"),15)</f>
        <v>15</v>
      </c>
      <c r="J381" s="377">
        <f ca="1">IFERROR(__xludf.DUMMYFUNCTION("IMPORTRANGE(""https://docs.google.com/spreadsheets/d/1IYY_tgx_IHuhSq3AJ5eI5OnqOPBNLWSHKh2a30DoXe8/edit?usp=sharing"",""ยะลา!J276"")"),15)</f>
        <v>15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IFERROR(__xludf.DUMMYFUNCTION("IMPORTRANGE(""https://docs.google.com/spreadsheets/d/1IYY_tgx_IHuhSq3AJ5eI5OnqOPBNLWSHKh2a30DoXe8/edit?usp=sharing"",""ยะลา!L277"")"),0)</f>
        <v>0</v>
      </c>
      <c r="M382" s="168"/>
      <c r="N382" s="168">
        <f ca="1">IFERROR(__xludf.DUMMYFUNCTION("IMPORTRANGE(""https://docs.google.com/spreadsheets/d/1IYY_tgx_IHuhSq3AJ5eI5OnqOPBNLWSHKh2a30DoXe8/edit?usp=sharing"",""ยะลา!M277"")"),0)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IFERROR(__xludf.DUMMYFUNCTION("IMPORTRANGE(""https://docs.google.com/spreadsheets/d/1IYY_tgx_IHuhSq3AJ5eI5OnqOPBNLWSHKh2a30DoXe8/edit?usp=sharing"",""ยะลา!L278"")"),167610)</f>
        <v>167610</v>
      </c>
      <c r="M383" s="169"/>
      <c r="N383" s="169">
        <f ca="1">IFERROR(__xludf.DUMMYFUNCTION("IMPORTRANGE(""https://docs.google.com/spreadsheets/d/1IYY_tgx_IHuhSq3AJ5eI5OnqOPBNLWSHKh2a30DoXe8/edit?usp=sharing"",""ยะลา!M278"")"),167610)</f>
        <v>167610</v>
      </c>
      <c r="O383" s="169">
        <f t="shared" ca="1" si="109"/>
        <v>100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IFERROR(__xludf.DUMMYFUNCTION("IMPORTRANGE(""https://docs.google.com/spreadsheets/d/1IYY_tgx_IHuhSq3AJ5eI5OnqOPBNLWSHKh2a30DoXe8/edit?usp=sharing"",""ยะลา!L279"")"),0)</f>
        <v>0</v>
      </c>
      <c r="M384" s="175"/>
      <c r="N384" s="175">
        <f ca="1">IFERROR(__xludf.DUMMYFUNCTION("IMPORTRANGE(""https://docs.google.com/spreadsheets/d/1IYY_tgx_IHuhSq3AJ5eI5OnqOPBNLWSHKh2a30DoXe8/edit?usp=sharing"",""ยะลา!M279"")"),0)</f>
        <v>0</v>
      </c>
      <c r="O384" s="175">
        <f t="shared" ca="1" si="109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IFERROR(__xludf.DUMMYFUNCTION("IMPORTRANGE(""https://docs.google.com/spreadsheets/d/1IYY_tgx_IHuhSq3AJ5eI5OnqOPBNLWSHKh2a30DoXe8/edit?usp=sharing"",""ยะลา!L280"")"),167610)</f>
        <v>167610</v>
      </c>
      <c r="M385" s="175"/>
      <c r="N385" s="172">
        <f ca="1">IFERROR(__xludf.DUMMYFUNCTION("IMPORTRANGE(""https://docs.google.com/spreadsheets/d/1IYY_tgx_IHuhSq3AJ5eI5OnqOPBNLWSHKh2a30DoXe8/edit?usp=sharing"",""ยะลา!M280"")"),167610)</f>
        <v>167610</v>
      </c>
      <c r="O385" s="175">
        <f t="shared" ca="1" si="109"/>
        <v>100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IFERROR(__xludf.DUMMYFUNCTION("IMPORTRANGE(""https://docs.google.com/spreadsheets/d/1IYY_tgx_IHuhSq3AJ5eI5OnqOPBNLWSHKh2a30DoXe8/edit?usp=sharing"",""ยะลา!M281"")"),50100)</f>
        <v>50100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IFERROR(__xludf.DUMMYFUNCTION("IMPORTRANGE(""https://docs.google.com/spreadsheets/d/1IYY_tgx_IHuhSq3AJ5eI5OnqOPBNLWSHKh2a30DoXe8/edit?usp=sharing"",""ยะลา!M282"")"),93750)</f>
        <v>93750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IFERROR(__xludf.DUMMYFUNCTION("IMPORTRANGE(""https://docs.google.com/spreadsheets/d/1IYY_tgx_IHuhSq3AJ5eI5OnqOPBNLWSHKh2a30DoXe8/edit?usp=sharing"",""ยะลา!M283"")"),0)</f>
        <v>0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IFERROR(__xludf.DUMMYFUNCTION("IMPORTRANGE(""https://docs.google.com/spreadsheets/d/1IYY_tgx_IHuhSq3AJ5eI5OnqOPBNLWSHKh2a30DoXe8/edit?usp=sharing"",""ยะลา!M284"")"),23760)</f>
        <v>23760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IFERROR(__xludf.DUMMYFUNCTION("IMPORTRANGE(""https://docs.google.com/spreadsheets/d/1IYY_tgx_IHuhSq3AJ5eI5OnqOPBNLWSHKh2a30DoXe8/edit?usp=sharing"",""ยะลา!J286"")"),0)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IFERROR(__xludf.DUMMYFUNCTION("IMPORTRANGE(""https://docs.google.com/spreadsheets/d/1IYY_tgx_IHuhSq3AJ5eI5OnqOPBNLWSHKh2a30DoXe8/edit?usp=sharing"",""ยะลา!J287"")"),1)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IFERROR(__xludf.DUMMYFUNCTION("IMPORTRANGE(""https://docs.google.com/spreadsheets/d/1IYY_tgx_IHuhSq3AJ5eI5OnqOPBNLWSHKh2a30DoXe8/edit?usp=sharing"",""ยะลา!J288"")"),1)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IFERROR(__xludf.DUMMYFUNCTION("IMPORTRANGE(""https://docs.google.com/spreadsheets/d/1IYY_tgx_IHuhSq3AJ5eI5OnqOPBNLWSHKh2a30DoXe8/edit?usp=sharing"",""ยะลา!J289"")"),1)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IFERROR(__xludf.DUMMYFUNCTION("IMPORTRANGE(""https://docs.google.com/spreadsheets/d/1IYY_tgx_IHuhSq3AJ5eI5OnqOPBNLWSHKh2a30DoXe8/edit?usp=sharing"",""ยะลา!I291"")"),15)</f>
        <v>15</v>
      </c>
      <c r="J396" s="204">
        <f ca="1">IFERROR(__xludf.DUMMYFUNCTION("IMPORTRANGE(""https://docs.google.com/spreadsheets/d/1IYY_tgx_IHuhSq3AJ5eI5OnqOPBNLWSHKh2a30DoXe8/edit?usp=sharing"",""ยะลา!J291"")"),15)</f>
        <v>15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IFERROR(__xludf.DUMMYFUNCTION("IMPORTRANGE(""https://docs.google.com/spreadsheets/d/1IYY_tgx_IHuhSq3AJ5eI5OnqOPBNLWSHKh2a30DoXe8/edit?usp=sharing"",""ยะลา!I292"")"),150)</f>
        <v>150</v>
      </c>
      <c r="J397" s="204">
        <f ca="1">IFERROR(__xludf.DUMMYFUNCTION("IMPORTRANGE(""https://docs.google.com/spreadsheets/d/1IYY_tgx_IHuhSq3AJ5eI5OnqOPBNLWSHKh2a30DoXe8/edit?usp=sharing"",""ยะลา!J292"")"),150)</f>
        <v>150</v>
      </c>
      <c r="K397" s="167">
        <f t="shared" ca="1" si="110"/>
        <v>100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IFERROR(__xludf.DUMMYFUNCTION("IMPORTRANGE(""https://docs.google.com/spreadsheets/d/1IYY_tgx_IHuhSq3AJ5eI5OnqOPBNLWSHKh2a30DoXe8/edit?usp=sharing"",""ยะลา!I293"")"),15)</f>
        <v>15</v>
      </c>
      <c r="J398" s="204">
        <f ca="1">IFERROR(__xludf.DUMMYFUNCTION("IMPORTRANGE(""https://docs.google.com/spreadsheets/d/1IYY_tgx_IHuhSq3AJ5eI5OnqOPBNLWSHKh2a30DoXe8/edit?usp=sharing"",""ยะลา!J293"")"),15)</f>
        <v>15</v>
      </c>
      <c r="K398" s="167">
        <f t="shared" ca="1" si="110"/>
        <v>100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IFERROR(__xludf.DUMMYFUNCTION("IMPORTRANGE(""https://docs.google.com/spreadsheets/d/1IYY_tgx_IHuhSq3AJ5eI5OnqOPBNLWSHKh2a30DoXe8/edit?usp=sharing"",""ยะลา!J294"")"),0)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IFERROR(__xludf.DUMMYFUNCTION("IMPORTRANGE(""https://docs.google.com/spreadsheets/d/1IYY_tgx_IHuhSq3AJ5eI5OnqOPBNLWSHKh2a30DoXe8/edit?usp=sharing"",""ยะลา!J295"")"),0)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IFERROR(__xludf.DUMMYFUNCTION("IMPORTRANGE(""https://docs.google.com/spreadsheets/d/1IYY_tgx_IHuhSq3AJ5eI5OnqOPBNLWSHKh2a30DoXe8/edit?usp=sharing"",""ยะลา!I296"")"),105)</f>
        <v>105</v>
      </c>
      <c r="J401" s="377">
        <f ca="1">IFERROR(__xludf.DUMMYFUNCTION("IMPORTRANGE(""https://docs.google.com/spreadsheets/d/1IYY_tgx_IHuhSq3AJ5eI5OnqOPBNLWSHKh2a30DoXe8/edit?usp=sharing"",""ยะลา!J296"")"),105)</f>
        <v>105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IFERROR(__xludf.DUMMYFUNCTION("IMPORTRANGE(""https://docs.google.com/spreadsheets/d/1IYY_tgx_IHuhSq3AJ5eI5OnqOPBNLWSHKh2a30DoXe8/edit?usp=sharing"",""ยะลา!L296"")"),131710)</f>
        <v>131710</v>
      </c>
      <c r="M401" s="379"/>
      <c r="N401" s="379">
        <f ca="1">IFERROR(__xludf.DUMMYFUNCTION("IMPORTRANGE(""https://docs.google.com/spreadsheets/d/1IYY_tgx_IHuhSq3AJ5eI5OnqOPBNLWSHKh2a30DoXe8/edit?usp=sharing"",""ยะลา!M296"")"),121930)</f>
        <v>121930</v>
      </c>
      <c r="O401" s="379">
        <f ca="1">+IF(L401&gt;0,N401*100/L401,0)</f>
        <v>92.574595702680128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IFERROR(__xludf.DUMMYFUNCTION("IMPORTRANGE(""https://docs.google.com/spreadsheets/d/1IYY_tgx_IHuhSq3AJ5eI5OnqOPBNLWSHKh2a30DoXe8/edit?usp=sharing"",""ยะลา!I297"")"),35)</f>
        <v>35</v>
      </c>
      <c r="J402" s="377">
        <f ca="1">IFERROR(__xludf.DUMMYFUNCTION("IMPORTRANGE(""https://docs.google.com/spreadsheets/d/1IYY_tgx_IHuhSq3AJ5eI5OnqOPBNLWSHKh2a30DoXe8/edit?usp=sharing"",""ยะลา!J297"")"),35)</f>
        <v>35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IFERROR(__xludf.DUMMYFUNCTION("IMPORTRANGE(""https://docs.google.com/spreadsheets/d/1IYY_tgx_IHuhSq3AJ5eI5OnqOPBNLWSHKh2a30DoXe8/edit?usp=sharing"",""ยะลา!L298"")"),0)</f>
        <v>0</v>
      </c>
      <c r="M403" s="168"/>
      <c r="N403" s="175">
        <f ca="1">IFERROR(__xludf.DUMMYFUNCTION("IMPORTRANGE(""https://docs.google.com/spreadsheets/d/1IYY_tgx_IHuhSq3AJ5eI5OnqOPBNLWSHKh2a30DoXe8/edit?usp=sharing"",""ยะลา!M298"")"),0)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IFERROR(__xludf.DUMMYFUNCTION("IMPORTRANGE(""https://docs.google.com/spreadsheets/d/1IYY_tgx_IHuhSq3AJ5eI5OnqOPBNLWSHKh2a30DoXe8/edit?usp=sharing"",""ยะลา!L299"")"),131710)</f>
        <v>131710</v>
      </c>
      <c r="M404" s="169"/>
      <c r="N404" s="175">
        <f ca="1">IFERROR(__xludf.DUMMYFUNCTION("IMPORTRANGE(""https://docs.google.com/spreadsheets/d/1IYY_tgx_IHuhSq3AJ5eI5OnqOPBNLWSHKh2a30DoXe8/edit?usp=sharing"",""ยะลา!M299"")"),121930)</f>
        <v>121930</v>
      </c>
      <c r="O404" s="175">
        <f t="shared" ca="1" si="112"/>
        <v>92.574595702680128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IFERROR(__xludf.DUMMYFUNCTION("IMPORTRANGE(""https://docs.google.com/spreadsheets/d/1IYY_tgx_IHuhSq3AJ5eI5OnqOPBNLWSHKh2a30DoXe8/edit?usp=sharing"",""ยะลา!L300"")"),0)</f>
        <v>0</v>
      </c>
      <c r="M405" s="175"/>
      <c r="N405" s="175">
        <f ca="1">IFERROR(__xludf.DUMMYFUNCTION("IMPORTRANGE(""https://docs.google.com/spreadsheets/d/1IYY_tgx_IHuhSq3AJ5eI5OnqOPBNLWSHKh2a30DoXe8/edit?usp=sharing"",""ยะลา!M300"")"),0)</f>
        <v>0</v>
      </c>
      <c r="O405" s="175">
        <f t="shared" ca="1" si="112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IFERROR(__xludf.DUMMYFUNCTION("IMPORTRANGE(""https://docs.google.com/spreadsheets/d/1IYY_tgx_IHuhSq3AJ5eI5OnqOPBNLWSHKh2a30DoXe8/edit?usp=sharing"",""ยะลา!L301"")"),131710)</f>
        <v>131710</v>
      </c>
      <c r="M406" s="175"/>
      <c r="N406" s="175">
        <f ca="1">IFERROR(__xludf.DUMMYFUNCTION("IMPORTRANGE(""https://docs.google.com/spreadsheets/d/1IYY_tgx_IHuhSq3AJ5eI5OnqOPBNLWSHKh2a30DoXe8/edit?usp=sharing"",""ยะลา!M301"")"),121930)</f>
        <v>121930</v>
      </c>
      <c r="O406" s="175">
        <f t="shared" ca="1" si="112"/>
        <v>92.574595702680128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IFERROR(__xludf.DUMMYFUNCTION("IMPORTRANGE(""https://docs.google.com/spreadsheets/d/1IYY_tgx_IHuhSq3AJ5eI5OnqOPBNLWSHKh2a30DoXe8/edit?usp=sharing"",""ยะลา!M302"")"),78850)</f>
        <v>78850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IFERROR(__xludf.DUMMYFUNCTION("IMPORTRANGE(""https://docs.google.com/spreadsheets/d/1IYY_tgx_IHuhSq3AJ5eI5OnqOPBNLWSHKh2a30DoXe8/edit?usp=sharing"",""ยะลา!M303"")"),25500)</f>
        <v>25500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IFERROR(__xludf.DUMMYFUNCTION("IMPORTRANGE(""https://docs.google.com/spreadsheets/d/1IYY_tgx_IHuhSq3AJ5eI5OnqOPBNLWSHKh2a30DoXe8/edit?usp=sharing"",""ยะลา!M304"")"),0)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IFERROR(__xludf.DUMMYFUNCTION("IMPORTRANGE(""https://docs.google.com/spreadsheets/d/1IYY_tgx_IHuhSq3AJ5eI5OnqOPBNLWSHKh2a30DoXe8/edit?usp=sharing"",""ยะลา!M305"")"),17580)</f>
        <v>17580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IFERROR(__xludf.DUMMYFUNCTION("IMPORTRANGE(""https://docs.google.com/spreadsheets/d/1IYY_tgx_IHuhSq3AJ5eI5OnqOPBNLWSHKh2a30DoXe8/edit?usp=sharing"",""ยะลา!J307"")"),0)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IFERROR(__xludf.DUMMYFUNCTION("IMPORTRANGE(""https://docs.google.com/spreadsheets/d/1IYY_tgx_IHuhSq3AJ5eI5OnqOPBNLWSHKh2a30DoXe8/edit?usp=sharing"",""ยะลา!J308"")"),1)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IFERROR(__xludf.DUMMYFUNCTION("IMPORTRANGE(""https://docs.google.com/spreadsheets/d/1IYY_tgx_IHuhSq3AJ5eI5OnqOPBNLWSHKh2a30DoXe8/edit?usp=sharing"",""ยะลา!J309"")"),1)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IFERROR(__xludf.DUMMYFUNCTION("IMPORTRANGE(""https://docs.google.com/spreadsheets/d/1IYY_tgx_IHuhSq3AJ5eI5OnqOPBNLWSHKh2a30DoXe8/edit?usp=sharing"",""ยะลา!J310"")"),1)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IFERROR(__xludf.DUMMYFUNCTION("IMPORTRANGE(""https://docs.google.com/spreadsheets/d/1IYY_tgx_IHuhSq3AJ5eI5OnqOPBNLWSHKh2a30DoXe8/edit?usp=sharing"",""ยะลา!I311"")"),35)</f>
        <v>35</v>
      </c>
      <c r="J416" s="207">
        <f ca="1">IFERROR(__xludf.DUMMYFUNCTION("IMPORTRANGE(""https://docs.google.com/spreadsheets/d/1IYY_tgx_IHuhSq3AJ5eI5OnqOPBNLWSHKh2a30DoXe8/edit?usp=sharing"",""ยะลา!J311"")"),35)</f>
        <v>35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IFERROR(__xludf.DUMMYFUNCTION("IMPORTRANGE(""https://docs.google.com/spreadsheets/d/1IYY_tgx_IHuhSq3AJ5eI5OnqOPBNLWSHKh2a30DoXe8/edit?usp=sharing"",""ยะลา!I312"")"),10)</f>
        <v>10</v>
      </c>
      <c r="J417" s="398">
        <f ca="1">IFERROR(__xludf.DUMMYFUNCTION("IMPORTRANGE(""https://docs.google.com/spreadsheets/d/1IYY_tgx_IHuhSq3AJ5eI5OnqOPBNLWSHKh2a30DoXe8/edit?usp=sharing"",""ยะลา!J312"")"),10)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IFERROR(__xludf.DUMMYFUNCTION("IMPORTRANGE(""https://docs.google.com/spreadsheets/d/1IYY_tgx_IHuhSq3AJ5eI5OnqOPBNLWSHKh2a30DoXe8/edit?usp=sharing"",""ยะลา!I313"")"),30)</f>
        <v>30</v>
      </c>
      <c r="J418" s="399">
        <f ca="1">IFERROR(__xludf.DUMMYFUNCTION("IMPORTRANGE(""https://docs.google.com/spreadsheets/d/1IYY_tgx_IHuhSq3AJ5eI5OnqOPBNLWSHKh2a30DoXe8/edit?usp=sharing"",""ยะลา!J313"")"),30)</f>
        <v>30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IFERROR(__xludf.DUMMYFUNCTION("IMPORTRANGE(""https://docs.google.com/spreadsheets/d/1IYY_tgx_IHuhSq3AJ5eI5OnqOPBNLWSHKh2a30DoXe8/edit?usp=sharing"",""ยะลา!I314"")"),10)</f>
        <v>10</v>
      </c>
      <c r="J419" s="400">
        <f ca="1">IFERROR(__xludf.DUMMYFUNCTION("IMPORTRANGE(""https://docs.google.com/spreadsheets/d/1IYY_tgx_IHuhSq3AJ5eI5OnqOPBNLWSHKh2a30DoXe8/edit?usp=sharing"",""ยะลา!J314"")"),10)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IFERROR(__xludf.DUMMYFUNCTION("IMPORTRANGE(""https://docs.google.com/spreadsheets/d/1IYY_tgx_IHuhSq3AJ5eI5OnqOPBNLWSHKh2a30DoXe8/edit?usp=sharing"",""ยะลา!I315"")"),10)</f>
        <v>10</v>
      </c>
      <c r="J420" s="400">
        <f ca="1">IFERROR(__xludf.DUMMYFUNCTION("IMPORTRANGE(""https://docs.google.com/spreadsheets/d/1IYY_tgx_IHuhSq3AJ5eI5OnqOPBNLWSHKh2a30DoXe8/edit?usp=sharing"",""ยะลา!J315"")"),10)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IFERROR(__xludf.DUMMYFUNCTION("IMPORTRANGE(""https://docs.google.com/spreadsheets/d/1IYY_tgx_IHuhSq3AJ5eI5OnqOPBNLWSHKh2a30DoXe8/edit?usp=sharing"",""ยะลา!I316"")"),15)</f>
        <v>15</v>
      </c>
      <c r="J421" s="398">
        <f ca="1">IFERROR(__xludf.DUMMYFUNCTION("IMPORTRANGE(""https://docs.google.com/spreadsheets/d/1IYY_tgx_IHuhSq3AJ5eI5OnqOPBNLWSHKh2a30DoXe8/edit?usp=sharing"",""ยะลา!J316"")"),15)</f>
        <v>15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IFERROR(__xludf.DUMMYFUNCTION("IMPORTRANGE(""https://docs.google.com/spreadsheets/d/1IYY_tgx_IHuhSq3AJ5eI5OnqOPBNLWSHKh2a30DoXe8/edit?usp=sharing"",""ยะลา!I317"")"),45)</f>
        <v>45</v>
      </c>
      <c r="J422" s="399">
        <f ca="1">IFERROR(__xludf.DUMMYFUNCTION("IMPORTRANGE(""https://docs.google.com/spreadsheets/d/1IYY_tgx_IHuhSq3AJ5eI5OnqOPBNLWSHKh2a30DoXe8/edit?usp=sharing"",""ยะลา!J317"")"),45)</f>
        <v>45</v>
      </c>
      <c r="K422" s="208">
        <f t="shared" ca="1" si="113"/>
        <v>100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IFERROR(__xludf.DUMMYFUNCTION("IMPORTRANGE(""https://docs.google.com/spreadsheets/d/1IYY_tgx_IHuhSq3AJ5eI5OnqOPBNLWSHKh2a30DoXe8/edit?usp=sharing"",""ยะลา!I318"")"),15)</f>
        <v>15</v>
      </c>
      <c r="J423" s="400">
        <f ca="1">IFERROR(__xludf.DUMMYFUNCTION("IMPORTRANGE(""https://docs.google.com/spreadsheets/d/1IYY_tgx_IHuhSq3AJ5eI5OnqOPBNLWSHKh2a30DoXe8/edit?usp=sharing"",""ยะลา!J318"")"),15)</f>
        <v>15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IFERROR(__xludf.DUMMYFUNCTION("IMPORTRANGE(""https://docs.google.com/spreadsheets/d/1IYY_tgx_IHuhSq3AJ5eI5OnqOPBNLWSHKh2a30DoXe8/edit?usp=sharing"",""ยะลา!I319"")"),15)</f>
        <v>15</v>
      </c>
      <c r="J424" s="400">
        <f ca="1">IFERROR(__xludf.DUMMYFUNCTION("IMPORTRANGE(""https://docs.google.com/spreadsheets/d/1IYY_tgx_IHuhSq3AJ5eI5OnqOPBNLWSHKh2a30DoXe8/edit?usp=sharing"",""ยะลา!J319"")"),15)</f>
        <v>15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IFERROR(__xludf.DUMMYFUNCTION("IMPORTRANGE(""https://docs.google.com/spreadsheets/d/1IYY_tgx_IHuhSq3AJ5eI5OnqOPBNLWSHKh2a30DoXe8/edit?usp=sharing"",""ยะลา!I320"")"),15)</f>
        <v>15</v>
      </c>
      <c r="J425" s="400">
        <f ca="1">IFERROR(__xludf.DUMMYFUNCTION("IMPORTRANGE(""https://docs.google.com/spreadsheets/d/1IYY_tgx_IHuhSq3AJ5eI5OnqOPBNLWSHKh2a30DoXe8/edit?usp=sharing"",""ยะลา!J320"")"),15)</f>
        <v>15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IFERROR(__xludf.DUMMYFUNCTION("IMPORTRANGE(""https://docs.google.com/spreadsheets/d/1IYY_tgx_IHuhSq3AJ5eI5OnqOPBNLWSHKh2a30DoXe8/edit?usp=sharing"",""ยะลา!I321"")"),10)</f>
        <v>10</v>
      </c>
      <c r="J426" s="398">
        <f ca="1">IFERROR(__xludf.DUMMYFUNCTION("IMPORTRANGE(""https://docs.google.com/spreadsheets/d/1IYY_tgx_IHuhSq3AJ5eI5OnqOPBNLWSHKh2a30DoXe8/edit?usp=sharing"",""ยะลา!J321"")"),10)</f>
        <v>10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IFERROR(__xludf.DUMMYFUNCTION("IMPORTRANGE(""https://docs.google.com/spreadsheets/d/1IYY_tgx_IHuhSq3AJ5eI5OnqOPBNLWSHKh2a30DoXe8/edit?usp=sharing"",""ยะลา!I322"")"),30)</f>
        <v>30</v>
      </c>
      <c r="J427" s="399">
        <f ca="1">IFERROR(__xludf.DUMMYFUNCTION("IMPORTRANGE(""https://docs.google.com/spreadsheets/d/1IYY_tgx_IHuhSq3AJ5eI5OnqOPBNLWSHKh2a30DoXe8/edit?usp=sharing"",""ยะลา!J322"")"),30)</f>
        <v>30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IFERROR(__xludf.DUMMYFUNCTION("IMPORTRANGE(""https://docs.google.com/spreadsheets/d/1IYY_tgx_IHuhSq3AJ5eI5OnqOPBNLWSHKh2a30DoXe8/edit?usp=sharing"",""ยะลา!I323"")"),10)</f>
        <v>10</v>
      </c>
      <c r="J428" s="400">
        <f ca="1">IFERROR(__xludf.DUMMYFUNCTION("IMPORTRANGE(""https://docs.google.com/spreadsheets/d/1IYY_tgx_IHuhSq3AJ5eI5OnqOPBNLWSHKh2a30DoXe8/edit?usp=sharing"",""ยะลา!J323"")"),10)</f>
        <v>10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IFERROR(__xludf.DUMMYFUNCTION("IMPORTRANGE(""https://docs.google.com/spreadsheets/d/1IYY_tgx_IHuhSq3AJ5eI5OnqOPBNLWSHKh2a30DoXe8/edit?usp=sharing"",""ยะลา!I324"")"),10)</f>
        <v>10</v>
      </c>
      <c r="J429" s="400">
        <f ca="1">IFERROR(__xludf.DUMMYFUNCTION("IMPORTRANGE(""https://docs.google.com/spreadsheets/d/1IYY_tgx_IHuhSq3AJ5eI5OnqOPBNLWSHKh2a30DoXe8/edit?usp=sharing"",""ยะลา!J324"")"),10)</f>
        <v>10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IFERROR(__xludf.DUMMYFUNCTION("IMPORTRANGE(""https://docs.google.com/spreadsheets/d/1IYY_tgx_IHuhSq3AJ5eI5OnqOPBNLWSHKh2a30DoXe8/edit?usp=sharing"",""ยะลา!I325"")"),25)</f>
        <v>25</v>
      </c>
      <c r="J430" s="398">
        <f ca="1">IFERROR(__xludf.DUMMYFUNCTION("IMPORTRANGE(""https://docs.google.com/spreadsheets/d/1IYY_tgx_IHuhSq3AJ5eI5OnqOPBNLWSHKh2a30DoXe8/edit?usp=sharing"",""ยะลา!J325"")"),25)</f>
        <v>25</v>
      </c>
      <c r="K430" s="208">
        <f t="shared" ca="1" si="113"/>
        <v>100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IFERROR(__xludf.DUMMYFUNCTION("IMPORTRANGE(""https://docs.google.com/spreadsheets/d/1IYY_tgx_IHuhSq3AJ5eI5OnqOPBNLWSHKh2a30DoXe8/edit?usp=sharing"",""ยะลา!I326"")"),10)</f>
        <v>10</v>
      </c>
      <c r="J431" s="400">
        <f ca="1">IFERROR(__xludf.DUMMYFUNCTION("IMPORTRANGE(""https://docs.google.com/spreadsheets/d/1IYY_tgx_IHuhSq3AJ5eI5OnqOPBNLWSHKh2a30DoXe8/edit?usp=sharing"",""ยะลา!J326"")"),10)</f>
        <v>10</v>
      </c>
      <c r="K431" s="167">
        <f t="shared" ca="1" si="113"/>
        <v>100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IFERROR(__xludf.DUMMYFUNCTION("IMPORTRANGE(""https://docs.google.com/spreadsheets/d/1IYY_tgx_IHuhSq3AJ5eI5OnqOPBNLWSHKh2a30DoXe8/edit?usp=sharing"",""ยะลา!I327"")"),15)</f>
        <v>15</v>
      </c>
      <c r="J432" s="400">
        <f ca="1">IFERROR(__xludf.DUMMYFUNCTION("IMPORTRANGE(""https://docs.google.com/spreadsheets/d/1IYY_tgx_IHuhSq3AJ5eI5OnqOPBNLWSHKh2a30DoXe8/edit?usp=sharing"",""ยะลา!J327"")"),15)</f>
        <v>15</v>
      </c>
      <c r="K432" s="167">
        <f t="shared" ca="1" si="113"/>
        <v>100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IFERROR(__xludf.DUMMYFUNCTION("IMPORTRANGE(""https://docs.google.com/spreadsheets/d/1IYY_tgx_IHuhSq3AJ5eI5OnqOPBNLWSHKh2a30DoXe8/edit?usp=sharing"",""ยะลา!J328"")"),0)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IFERROR(__xludf.DUMMYFUNCTION("IMPORTRANGE(""https://docs.google.com/spreadsheets/d/1IYY_tgx_IHuhSq3AJ5eI5OnqOPBNLWSHKh2a30DoXe8/edit?usp=sharing"",""ยะลา!J329"")"),0)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IFERROR(__xludf.DUMMYFUNCTION("IMPORTRANGE(""https://docs.google.com/spreadsheets/d/1IYY_tgx_IHuhSq3AJ5eI5OnqOPBNLWSHKh2a30DoXe8/edit?usp=sharing"",""ยะลา!I330"")"),10)</f>
        <v>10</v>
      </c>
      <c r="J435" s="416">
        <f ca="1">IFERROR(__xludf.DUMMYFUNCTION("IMPORTRANGE(""https://docs.google.com/spreadsheets/d/1IYY_tgx_IHuhSq3AJ5eI5OnqOPBNLWSHKh2a30DoXe8/edit?usp=sharing"",""ยะลา!J330"")"),10)</f>
        <v>10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IFERROR(__xludf.DUMMYFUNCTION("IMPORTRANGE(""https://docs.google.com/spreadsheets/d/1IYY_tgx_IHuhSq3AJ5eI5OnqOPBNLWSHKh2a30DoXe8/edit?usp=sharing"",""ยะลา!L330"")"),76000)</f>
        <v>76000</v>
      </c>
      <c r="M435" s="418"/>
      <c r="N435" s="418">
        <f ca="1">IFERROR(__xludf.DUMMYFUNCTION("IMPORTRANGE(""https://docs.google.com/spreadsheets/d/1IYY_tgx_IHuhSq3AJ5eI5OnqOPBNLWSHKh2a30DoXe8/edit?usp=sharing"",""ยะลา!M330"")"),76000)</f>
        <v>76000</v>
      </c>
      <c r="O435" s="418">
        <f t="shared" ref="O435:O439" ca="1" si="114">+IF(L435&gt;0,N435*100/L435,0)</f>
        <v>100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IFERROR(__xludf.DUMMYFUNCTION("IMPORTRANGE(""https://docs.google.com/spreadsheets/d/1IYY_tgx_IHuhSq3AJ5eI5OnqOPBNLWSHKh2a30DoXe8/edit?usp=sharing"",""ยะลา!L331"")"),0)</f>
        <v>0</v>
      </c>
      <c r="M436" s="168"/>
      <c r="N436" s="175">
        <f ca="1">IFERROR(__xludf.DUMMYFUNCTION("IMPORTRANGE(""https://docs.google.com/spreadsheets/d/1IYY_tgx_IHuhSq3AJ5eI5OnqOPBNLWSHKh2a30DoXe8/edit?usp=sharing"",""ยะลา!M331"")"),0)</f>
        <v>0</v>
      </c>
      <c r="O436" s="175">
        <f t="shared" ca="1" si="114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IFERROR(__xludf.DUMMYFUNCTION("IMPORTRANGE(""https://docs.google.com/spreadsheets/d/1IYY_tgx_IHuhSq3AJ5eI5OnqOPBNLWSHKh2a30DoXe8/edit?usp=sharing"",""ยะลา!L332"")"),76000)</f>
        <v>76000</v>
      </c>
      <c r="M437" s="169"/>
      <c r="N437" s="175">
        <f ca="1">IFERROR(__xludf.DUMMYFUNCTION("IMPORTRANGE(""https://docs.google.com/spreadsheets/d/1IYY_tgx_IHuhSq3AJ5eI5OnqOPBNLWSHKh2a30DoXe8/edit?usp=sharing"",""ยะลา!M332"")"),76000)</f>
        <v>76000</v>
      </c>
      <c r="O437" s="175">
        <f t="shared" ca="1" si="114"/>
        <v>100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IFERROR(__xludf.DUMMYFUNCTION("IMPORTRANGE(""https://docs.google.com/spreadsheets/d/1IYY_tgx_IHuhSq3AJ5eI5OnqOPBNLWSHKh2a30DoXe8/edit?usp=sharing"",""ยะลา!L333"")"),0)</f>
        <v>0</v>
      </c>
      <c r="M438" s="175"/>
      <c r="N438" s="175">
        <f ca="1">IFERROR(__xludf.DUMMYFUNCTION("IMPORTRANGE(""https://docs.google.com/spreadsheets/d/1IYY_tgx_IHuhSq3AJ5eI5OnqOPBNLWSHKh2a30DoXe8/edit?usp=sharing"",""ยะลา!M333"")"),0)</f>
        <v>0</v>
      </c>
      <c r="O438" s="175">
        <f t="shared" ca="1" si="114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IFERROR(__xludf.DUMMYFUNCTION("IMPORTRANGE(""https://docs.google.com/spreadsheets/d/1IYY_tgx_IHuhSq3AJ5eI5OnqOPBNLWSHKh2a30DoXe8/edit?usp=sharing"",""ยะลา!L334"")"),76000)</f>
        <v>76000</v>
      </c>
      <c r="M439" s="175"/>
      <c r="N439" s="175">
        <f ca="1">IFERROR(__xludf.DUMMYFUNCTION("IMPORTRANGE(""https://docs.google.com/spreadsheets/d/1IYY_tgx_IHuhSq3AJ5eI5OnqOPBNLWSHKh2a30DoXe8/edit?usp=sharing"",""ยะลา!M334"")"),76000)</f>
        <v>76000</v>
      </c>
      <c r="O439" s="175">
        <f t="shared" ca="1" si="114"/>
        <v>100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IFERROR(__xludf.DUMMYFUNCTION("IMPORTRANGE(""https://docs.google.com/spreadsheets/d/1IYY_tgx_IHuhSq3AJ5eI5OnqOPBNLWSHKh2a30DoXe8/edit?usp=sharing"",""ยะลา!M335"")"),27545)</f>
        <v>27545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IFERROR(__xludf.DUMMYFUNCTION("IMPORTRANGE(""https://docs.google.com/spreadsheets/d/1IYY_tgx_IHuhSq3AJ5eI5OnqOPBNLWSHKh2a30DoXe8/edit?usp=sharing"",""ยะลา!M336"")"),0)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IFERROR(__xludf.DUMMYFUNCTION("IMPORTRANGE(""https://docs.google.com/spreadsheets/d/1IYY_tgx_IHuhSq3AJ5eI5OnqOPBNLWSHKh2a30DoXe8/edit?usp=sharing"",""ยะลา!M337"")"),0)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IFERROR(__xludf.DUMMYFUNCTION("IMPORTRANGE(""https://docs.google.com/spreadsheets/d/1IYY_tgx_IHuhSq3AJ5eI5OnqOPBNLWSHKh2a30DoXe8/edit?usp=sharing"",""ยะลา!M338"")"),48455)</f>
        <v>48455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IFERROR(__xludf.DUMMYFUNCTION("IMPORTRANGE(""https://docs.google.com/spreadsheets/d/1IYY_tgx_IHuhSq3AJ5eI5OnqOPBNLWSHKh2a30DoXe8/edit?usp=sharing"",""ยะลา!J340"")"),0)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IFERROR(__xludf.DUMMYFUNCTION("IMPORTRANGE(""https://docs.google.com/spreadsheets/d/1IYY_tgx_IHuhSq3AJ5eI5OnqOPBNLWSHKh2a30DoXe8/edit?usp=sharing"",""ยะลา!J341"")"),1)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IFERROR(__xludf.DUMMYFUNCTION("IMPORTRANGE(""https://docs.google.com/spreadsheets/d/1IYY_tgx_IHuhSq3AJ5eI5OnqOPBNLWSHKh2a30DoXe8/edit?usp=sharing"",""ยะลา!J342"")"),1)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IFERROR(__xludf.DUMMYFUNCTION("IMPORTRANGE(""https://docs.google.com/spreadsheets/d/1IYY_tgx_IHuhSq3AJ5eI5OnqOPBNLWSHKh2a30DoXe8/edit?usp=sharing"",""ยะลา!J343"")"),1)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IFERROR(__xludf.DUMMYFUNCTION("IMPORTRANGE(""https://docs.google.com/spreadsheets/d/1IYY_tgx_IHuhSq3AJ5eI5OnqOPBNLWSHKh2a30DoXe8/edit?usp=sharing"",""ยะลา!I344"")"),10)</f>
        <v>10</v>
      </c>
      <c r="J449" s="207">
        <f ca="1">IFERROR(__xludf.DUMMYFUNCTION("IMPORTRANGE(""https://docs.google.com/spreadsheets/d/1IYY_tgx_IHuhSq3AJ5eI5OnqOPBNLWSHKh2a30DoXe8/edit?usp=sharing"",""ยะลา!J344"")"),10)</f>
        <v>10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IFERROR(__xludf.DUMMYFUNCTION("IMPORTRANGE(""https://docs.google.com/spreadsheets/d/1IYY_tgx_IHuhSq3AJ5eI5OnqOPBNLWSHKh2a30DoXe8/edit?usp=sharing"",""ยะลา!I345"")"),10)</f>
        <v>10</v>
      </c>
      <c r="J450" s="195">
        <f ca="1">IFERROR(__xludf.DUMMYFUNCTION("IMPORTRANGE(""https://docs.google.com/spreadsheets/d/1IYY_tgx_IHuhSq3AJ5eI5OnqOPBNLWSHKh2a30DoXe8/edit?usp=sharing"",""ยะลา!J345"")"),10)</f>
        <v>10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IFERROR(__xludf.DUMMYFUNCTION("IMPORTRANGE(""https://docs.google.com/spreadsheets/d/1IYY_tgx_IHuhSq3AJ5eI5OnqOPBNLWSHKh2a30DoXe8/edit?usp=sharing"",""ยะลา!I346"")"),0)</f>
        <v>0</v>
      </c>
      <c r="J451" s="194">
        <f ca="1">IFERROR(__xludf.DUMMYFUNCTION("IMPORTRANGE(""https://docs.google.com/spreadsheets/d/1IYY_tgx_IHuhSq3AJ5eI5OnqOPBNLWSHKh2a30DoXe8/edit?usp=sharing"",""ยะลา!J346"")"),0)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IFERROR(__xludf.DUMMYFUNCTION("IMPORTRANGE(""https://docs.google.com/spreadsheets/d/1IYY_tgx_IHuhSq3AJ5eI5OnqOPBNLWSHKh2a30DoXe8/edit?usp=sharing"",""ยะลา!I347"")"),0)</f>
        <v>0</v>
      </c>
      <c r="J452" s="194">
        <f ca="1">IFERROR(__xludf.DUMMYFUNCTION("IMPORTRANGE(""https://docs.google.com/spreadsheets/d/1IYY_tgx_IHuhSq3AJ5eI5OnqOPBNLWSHKh2a30DoXe8/edit?usp=sharing"",""ยะลา!J347"")"),0)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IFERROR(__xludf.DUMMYFUNCTION("IMPORTRANGE(""https://docs.google.com/spreadsheets/d/1IYY_tgx_IHuhSq3AJ5eI5OnqOPBNLWSHKh2a30DoXe8/edit?usp=sharing"",""ยะลา!J348"")"),0)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IFERROR(__xludf.DUMMYFUNCTION("IMPORTRANGE(""https://docs.google.com/spreadsheets/d/1IYY_tgx_IHuhSq3AJ5eI5OnqOPBNLWSHKh2a30DoXe8/edit?usp=sharing"",""ยะลา!J349"")"),0)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IFERROR(__xludf.DUMMYFUNCTION("IMPORTRANGE(""https://docs.google.com/spreadsheets/d/1IYY_tgx_IHuhSq3AJ5eI5OnqOPBNLWSHKh2a30DoXe8/edit?usp=sharing"",""ยะลา!I350"")"),5390)</f>
        <v>5390</v>
      </c>
      <c r="J455" s="377">
        <f ca="1">IFERROR(__xludf.DUMMYFUNCTION("IMPORTRANGE(""https://docs.google.com/spreadsheets/d/1IYY_tgx_IHuhSq3AJ5eI5OnqOPBNLWSHKh2a30DoXe8/edit?usp=sharing"",""ยะลา!J350"")"),5391)</f>
        <v>5391</v>
      </c>
      <c r="K455" s="378">
        <f ca="1">IF(I455&gt;0,J455*100/I455,0)</f>
        <v>100.01855287569573</v>
      </c>
      <c r="L455" s="379">
        <f ca="1">IFERROR(__xludf.DUMMYFUNCTION("IMPORTRANGE(""https://docs.google.com/spreadsheets/d/1IYY_tgx_IHuhSq3AJ5eI5OnqOPBNLWSHKh2a30DoXe8/edit?usp=sharing"",""ยะลา!L350"")"),77877)</f>
        <v>77877</v>
      </c>
      <c r="M455" s="379"/>
      <c r="N455" s="379">
        <f ca="1">IFERROR(__xludf.DUMMYFUNCTION("IMPORTRANGE(""https://docs.google.com/spreadsheets/d/1IYY_tgx_IHuhSq3AJ5eI5OnqOPBNLWSHKh2a30DoXe8/edit?usp=sharing"",""ยะลา!M350"")"),55542)</f>
        <v>55542</v>
      </c>
      <c r="O455" s="379">
        <f t="shared" ref="O455:O459" ca="1" si="116">+IF(L455&gt;0,N455*100/L455,0)</f>
        <v>71.320158711814784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IFERROR(__xludf.DUMMYFUNCTION("IMPORTRANGE(""https://docs.google.com/spreadsheets/d/1IYY_tgx_IHuhSq3AJ5eI5OnqOPBNLWSHKh2a30DoXe8/edit?usp=sharing"",""ยะลา!L351"")"),0)</f>
        <v>0</v>
      </c>
      <c r="M456" s="168"/>
      <c r="N456" s="175">
        <f ca="1">IFERROR(__xludf.DUMMYFUNCTION("IMPORTRANGE(""https://docs.google.com/spreadsheets/d/1IYY_tgx_IHuhSq3AJ5eI5OnqOPBNLWSHKh2a30DoXe8/edit?usp=sharing"",""ยะลา!M351"")"),0)</f>
        <v>0</v>
      </c>
      <c r="O456" s="175">
        <f t="shared" ca="1" si="116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IFERROR(__xludf.DUMMYFUNCTION("IMPORTRANGE(""https://docs.google.com/spreadsheets/d/1IYY_tgx_IHuhSq3AJ5eI5OnqOPBNLWSHKh2a30DoXe8/edit?usp=sharing"",""ยะลา!L352"")"),77877)</f>
        <v>77877</v>
      </c>
      <c r="M457" s="169"/>
      <c r="N457" s="175">
        <f ca="1">IFERROR(__xludf.DUMMYFUNCTION("IMPORTRANGE(""https://docs.google.com/spreadsheets/d/1IYY_tgx_IHuhSq3AJ5eI5OnqOPBNLWSHKh2a30DoXe8/edit?usp=sharing"",""ยะลา!M352"")"),55542)</f>
        <v>55542</v>
      </c>
      <c r="O457" s="175">
        <f t="shared" ca="1" si="116"/>
        <v>71.320158711814784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IFERROR(__xludf.DUMMYFUNCTION("IMPORTRANGE(""https://docs.google.com/spreadsheets/d/1IYY_tgx_IHuhSq3AJ5eI5OnqOPBNLWSHKh2a30DoXe8/edit?usp=sharing"",""ยะลา!L353"")"),0)</f>
        <v>0</v>
      </c>
      <c r="M458" s="175"/>
      <c r="N458" s="175">
        <f ca="1">IFERROR(__xludf.DUMMYFUNCTION("IMPORTRANGE(""https://docs.google.com/spreadsheets/d/1IYY_tgx_IHuhSq3AJ5eI5OnqOPBNLWSHKh2a30DoXe8/edit?usp=sharing"",""ยะลา!M353"")"),0)</f>
        <v>0</v>
      </c>
      <c r="O458" s="175">
        <f t="shared" ca="1" si="116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IFERROR(__xludf.DUMMYFUNCTION("IMPORTRANGE(""https://docs.google.com/spreadsheets/d/1IYY_tgx_IHuhSq3AJ5eI5OnqOPBNLWSHKh2a30DoXe8/edit?usp=sharing"",""ยะลา!L354"")"),77877)</f>
        <v>77877</v>
      </c>
      <c r="M459" s="175"/>
      <c r="N459" s="175">
        <f ca="1">IFERROR(__xludf.DUMMYFUNCTION("IMPORTRANGE(""https://docs.google.com/spreadsheets/d/1IYY_tgx_IHuhSq3AJ5eI5OnqOPBNLWSHKh2a30DoXe8/edit?usp=sharing"",""ยะลา!M354"")"),55542)</f>
        <v>55542</v>
      </c>
      <c r="O459" s="175">
        <f t="shared" ca="1" si="116"/>
        <v>71.320158711814784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IFERROR(__xludf.DUMMYFUNCTION("IMPORTRANGE(""https://docs.google.com/spreadsheets/d/1IYY_tgx_IHuhSq3AJ5eI5OnqOPBNLWSHKh2a30DoXe8/edit?usp=sharing"",""ยะลา!M355"")"),0)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IFERROR(__xludf.DUMMYFUNCTION("IMPORTRANGE(""https://docs.google.com/spreadsheets/d/1IYY_tgx_IHuhSq3AJ5eI5OnqOPBNLWSHKh2a30DoXe8/edit?usp=sharing"",""ยะลา!M356"")"),0)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IFERROR(__xludf.DUMMYFUNCTION("IMPORTRANGE(""https://docs.google.com/spreadsheets/d/1IYY_tgx_IHuhSq3AJ5eI5OnqOPBNLWSHKh2a30DoXe8/edit?usp=sharing"",""ยะลา!M357"")"),0)</f>
        <v>0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IFERROR(__xludf.DUMMYFUNCTION("IMPORTRANGE(""https://docs.google.com/spreadsheets/d/1IYY_tgx_IHuhSq3AJ5eI5OnqOPBNLWSHKh2a30DoXe8/edit?usp=sharing"",""ยะลา!M358"")"),55542)</f>
        <v>55542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IFERROR(__xludf.DUMMYFUNCTION("IMPORTRANGE(""https://docs.google.com/spreadsheets/d/1IYY_tgx_IHuhSq3AJ5eI5OnqOPBNLWSHKh2a30DoXe8/edit?usp=sharing"",""ยะลา!I359"")"),5390)</f>
        <v>5390</v>
      </c>
      <c r="J464" s="273">
        <f ca="1">IFERROR(__xludf.DUMMYFUNCTION("IMPORTRANGE(""https://docs.google.com/spreadsheets/d/1IYY_tgx_IHuhSq3AJ5eI5OnqOPBNLWSHKh2a30DoXe8/edit?usp=sharing"",""ยะลา!J359"")"),5391)</f>
        <v>5391</v>
      </c>
      <c r="K464" s="274">
        <f t="shared" ref="K464:K515" ca="1" si="117">IF(I464&gt;0,J464*100/I464,0)</f>
        <v>100.01855287569573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IFERROR(__xludf.DUMMYFUNCTION("IMPORTRANGE(""https://docs.google.com/spreadsheets/d/1IYY_tgx_IHuhSq3AJ5eI5OnqOPBNLWSHKh2a30DoXe8/edit?usp=sharing"",""ยะลา!I360"")"),5390)</f>
        <v>5390</v>
      </c>
      <c r="J465" s="426">
        <f ca="1">IFERROR(__xludf.DUMMYFUNCTION("IMPORTRANGE(""https://docs.google.com/spreadsheets/d/1IYY_tgx_IHuhSq3AJ5eI5OnqOPBNLWSHKh2a30DoXe8/edit?usp=sharing"",""ยะลา!J360"")"),5391)</f>
        <v>5391</v>
      </c>
      <c r="K465" s="208">
        <f t="shared" ca="1" si="117"/>
        <v>100.01855287569573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IFERROR(__xludf.DUMMYFUNCTION("IMPORTRANGE(""https://docs.google.com/spreadsheets/d/1IYY_tgx_IHuhSq3AJ5eI5OnqOPBNLWSHKh2a30DoXe8/edit?usp=sharing"",""ยะลา!I361"")"),1357)</f>
        <v>1357</v>
      </c>
      <c r="J466" s="426">
        <f ca="1">IFERROR(__xludf.DUMMYFUNCTION("IMPORTRANGE(""https://docs.google.com/spreadsheets/d/1IYY_tgx_IHuhSq3AJ5eI5OnqOPBNLWSHKh2a30DoXe8/edit?usp=sharing"",""ยะลา!J361"")"),1357)</f>
        <v>1357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IFERROR(__xludf.DUMMYFUNCTION("IMPORTRANGE(""https://docs.google.com/spreadsheets/d/1IYY_tgx_IHuhSq3AJ5eI5OnqOPBNLWSHKh2a30DoXe8/edit?usp=sharing"",""ยะลา!I362"")"),0)</f>
        <v>0</v>
      </c>
      <c r="J467" s="195">
        <f ca="1">IFERROR(__xludf.DUMMYFUNCTION("IMPORTRANGE(""https://docs.google.com/spreadsheets/d/1IYY_tgx_IHuhSq3AJ5eI5OnqOPBNLWSHKh2a30DoXe8/edit?usp=sharing"",""ยะลา!J362"")"),4970)</f>
        <v>4970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IFERROR(__xludf.DUMMYFUNCTION("IMPORTRANGE(""https://docs.google.com/spreadsheets/d/1IYY_tgx_IHuhSq3AJ5eI5OnqOPBNLWSHKh2a30DoXe8/edit?usp=sharing"",""ยะลา!I363"")"),0)</f>
        <v>0</v>
      </c>
      <c r="J468" s="195">
        <f ca="1">IFERROR(__xludf.DUMMYFUNCTION("IMPORTRANGE(""https://docs.google.com/spreadsheets/d/1IYY_tgx_IHuhSq3AJ5eI5OnqOPBNLWSHKh2a30DoXe8/edit?usp=sharing"",""ยะลา!J363"")"),1290)</f>
        <v>1290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IFERROR(__xludf.DUMMYFUNCTION("IMPORTRANGE(""https://docs.google.com/spreadsheets/d/1IYY_tgx_IHuhSq3AJ5eI5OnqOPBNLWSHKh2a30DoXe8/edit?usp=sharing"",""ยะลา!I364"")"),0)</f>
        <v>0</v>
      </c>
      <c r="J469" s="195">
        <f ca="1">IFERROR(__xludf.DUMMYFUNCTION("IMPORTRANGE(""https://docs.google.com/spreadsheets/d/1IYY_tgx_IHuhSq3AJ5eI5OnqOPBNLWSHKh2a30DoXe8/edit?usp=sharing"",""ยะลา!J364"")"),237)</f>
        <v>237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IFERROR(__xludf.DUMMYFUNCTION("IMPORTRANGE(""https://docs.google.com/spreadsheets/d/1IYY_tgx_IHuhSq3AJ5eI5OnqOPBNLWSHKh2a30DoXe8/edit?usp=sharing"",""ยะลา!I365"")"),0)</f>
        <v>0</v>
      </c>
      <c r="J470" s="195">
        <f ca="1">IFERROR(__xludf.DUMMYFUNCTION("IMPORTRANGE(""https://docs.google.com/spreadsheets/d/1IYY_tgx_IHuhSq3AJ5eI5OnqOPBNLWSHKh2a30DoXe8/edit?usp=sharing"",""ยะลา!J365"")"),32)</f>
        <v>32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IFERROR(__xludf.DUMMYFUNCTION("IMPORTRANGE(""https://docs.google.com/spreadsheets/d/1IYY_tgx_IHuhSq3AJ5eI5OnqOPBNLWSHKh2a30DoXe8/edit?usp=sharing"",""ยะลา!I366"")"),0)</f>
        <v>0</v>
      </c>
      <c r="J471" s="195">
        <f ca="1">IFERROR(__xludf.DUMMYFUNCTION("IMPORTRANGE(""https://docs.google.com/spreadsheets/d/1IYY_tgx_IHuhSq3AJ5eI5OnqOPBNLWSHKh2a30DoXe8/edit?usp=sharing"",""ยะลา!J366"")"),184)</f>
        <v>184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IFERROR(__xludf.DUMMYFUNCTION("IMPORTRANGE(""https://docs.google.com/spreadsheets/d/1IYY_tgx_IHuhSq3AJ5eI5OnqOPBNLWSHKh2a30DoXe8/edit?usp=sharing"",""ยะลา!I367"")"),0)</f>
        <v>0</v>
      </c>
      <c r="J472" s="195">
        <f ca="1">IFERROR(__xludf.DUMMYFUNCTION("IMPORTRANGE(""https://docs.google.com/spreadsheets/d/1IYY_tgx_IHuhSq3AJ5eI5OnqOPBNLWSHKh2a30DoXe8/edit?usp=sharing"",""ยะลา!J367"")"),35)</f>
        <v>35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IFERROR(__xludf.DUMMYFUNCTION("IMPORTRANGE(""https://docs.google.com/spreadsheets/d/1IYY_tgx_IHuhSq3AJ5eI5OnqOPBNLWSHKh2a30DoXe8/edit?usp=sharing"",""ยะลา!I368"")"),5390)</f>
        <v>5390</v>
      </c>
      <c r="J473" s="426">
        <f ca="1">IFERROR(__xludf.DUMMYFUNCTION("IMPORTRANGE(""https://docs.google.com/spreadsheets/d/1IYY_tgx_IHuhSq3AJ5eI5OnqOPBNLWSHKh2a30DoXe8/edit?usp=sharing"",""ยะลา!J368"")"),5391)</f>
        <v>5391</v>
      </c>
      <c r="K473" s="208">
        <f t="shared" ca="1" si="117"/>
        <v>100.01855287569573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IFERROR(__xludf.DUMMYFUNCTION("IMPORTRANGE(""https://docs.google.com/spreadsheets/d/1IYY_tgx_IHuhSq3AJ5eI5OnqOPBNLWSHKh2a30DoXe8/edit?usp=sharing"",""ยะลา!I369"")"),1357)</f>
        <v>1357</v>
      </c>
      <c r="J474" s="426">
        <f ca="1">IFERROR(__xludf.DUMMYFUNCTION("IMPORTRANGE(""https://docs.google.com/spreadsheets/d/1IYY_tgx_IHuhSq3AJ5eI5OnqOPBNLWSHKh2a30DoXe8/edit?usp=sharing"",""ยะลา!J369"")"),1357)</f>
        <v>1357</v>
      </c>
      <c r="K474" s="208">
        <f t="shared" ca="1" si="117"/>
        <v>100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IFERROR(__xludf.DUMMYFUNCTION("IMPORTRANGE(""https://docs.google.com/spreadsheets/d/1IYY_tgx_IHuhSq3AJ5eI5OnqOPBNLWSHKh2a30DoXe8/edit?usp=sharing"",""ยะลา!I370"")"),0)</f>
        <v>0</v>
      </c>
      <c r="J475" s="195">
        <f ca="1">IFERROR(__xludf.DUMMYFUNCTION("IMPORTRANGE(""https://docs.google.com/spreadsheets/d/1IYY_tgx_IHuhSq3AJ5eI5OnqOPBNLWSHKh2a30DoXe8/edit?usp=sharing"",""ยะลา!J370"")"),4970)</f>
        <v>4970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IFERROR(__xludf.DUMMYFUNCTION("IMPORTRANGE(""https://docs.google.com/spreadsheets/d/1IYY_tgx_IHuhSq3AJ5eI5OnqOPBNLWSHKh2a30DoXe8/edit?usp=sharing"",""ยะลา!I371"")"),0)</f>
        <v>0</v>
      </c>
      <c r="J476" s="195">
        <f ca="1">IFERROR(__xludf.DUMMYFUNCTION("IMPORTRANGE(""https://docs.google.com/spreadsheets/d/1IYY_tgx_IHuhSq3AJ5eI5OnqOPBNLWSHKh2a30DoXe8/edit?usp=sharing"",""ยะลา!J371"")"),1290)</f>
        <v>1290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IFERROR(__xludf.DUMMYFUNCTION("IMPORTRANGE(""https://docs.google.com/spreadsheets/d/1IYY_tgx_IHuhSq3AJ5eI5OnqOPBNLWSHKh2a30DoXe8/edit?usp=sharing"",""ยะลา!I372"")"),0)</f>
        <v>0</v>
      </c>
      <c r="J477" s="195">
        <f ca="1">IFERROR(__xludf.DUMMYFUNCTION("IMPORTRANGE(""https://docs.google.com/spreadsheets/d/1IYY_tgx_IHuhSq3AJ5eI5OnqOPBNLWSHKh2a30DoXe8/edit?usp=sharing"",""ยะลา!J372"")"),237)</f>
        <v>237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IFERROR(__xludf.DUMMYFUNCTION("IMPORTRANGE(""https://docs.google.com/spreadsheets/d/1IYY_tgx_IHuhSq3AJ5eI5OnqOPBNLWSHKh2a30DoXe8/edit?usp=sharing"",""ยะลา!I373"")"),0)</f>
        <v>0</v>
      </c>
      <c r="J478" s="195">
        <f ca="1">IFERROR(__xludf.DUMMYFUNCTION("IMPORTRANGE(""https://docs.google.com/spreadsheets/d/1IYY_tgx_IHuhSq3AJ5eI5OnqOPBNLWSHKh2a30DoXe8/edit?usp=sharing"",""ยะลา!J373"")"),32)</f>
        <v>32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IFERROR(__xludf.DUMMYFUNCTION("IMPORTRANGE(""https://docs.google.com/spreadsheets/d/1IYY_tgx_IHuhSq3AJ5eI5OnqOPBNLWSHKh2a30DoXe8/edit?usp=sharing"",""ยะลา!I374"")"),0)</f>
        <v>0</v>
      </c>
      <c r="J479" s="195">
        <f ca="1">IFERROR(__xludf.DUMMYFUNCTION("IMPORTRANGE(""https://docs.google.com/spreadsheets/d/1IYY_tgx_IHuhSq3AJ5eI5OnqOPBNLWSHKh2a30DoXe8/edit?usp=sharing"",""ยะลา!J374"")"),184)</f>
        <v>184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IFERROR(__xludf.DUMMYFUNCTION("IMPORTRANGE(""https://docs.google.com/spreadsheets/d/1IYY_tgx_IHuhSq3AJ5eI5OnqOPBNLWSHKh2a30DoXe8/edit?usp=sharing"",""ยะลา!I375"")"),0)</f>
        <v>0</v>
      </c>
      <c r="J480" s="195">
        <f ca="1">IFERROR(__xludf.DUMMYFUNCTION("IMPORTRANGE(""https://docs.google.com/spreadsheets/d/1IYY_tgx_IHuhSq3AJ5eI5OnqOPBNLWSHKh2a30DoXe8/edit?usp=sharing"",""ยะลา!J375"")"),35)</f>
        <v>35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IFERROR(__xludf.DUMMYFUNCTION("IMPORTRANGE(""https://docs.google.com/spreadsheets/d/1IYY_tgx_IHuhSq3AJ5eI5OnqOPBNLWSHKh2a30DoXe8/edit?usp=sharing"",""ยะลา!I376"")"),5390)</f>
        <v>5390</v>
      </c>
      <c r="J481" s="426">
        <f ca="1">IFERROR(__xludf.DUMMYFUNCTION("IMPORTRANGE(""https://docs.google.com/spreadsheets/d/1IYY_tgx_IHuhSq3AJ5eI5OnqOPBNLWSHKh2a30DoXe8/edit?usp=sharing"",""ยะลา!J376"")"),5391)</f>
        <v>5391</v>
      </c>
      <c r="K481" s="208">
        <f t="shared" ca="1" si="117"/>
        <v>100.01855287569573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IFERROR(__xludf.DUMMYFUNCTION("IMPORTRANGE(""https://docs.google.com/spreadsheets/d/1IYY_tgx_IHuhSq3AJ5eI5OnqOPBNLWSHKh2a30DoXe8/edit?usp=sharing"",""ยะลา!I377"")"),1357)</f>
        <v>1357</v>
      </c>
      <c r="J482" s="426">
        <f ca="1">IFERROR(__xludf.DUMMYFUNCTION("IMPORTRANGE(""https://docs.google.com/spreadsheets/d/1IYY_tgx_IHuhSq3AJ5eI5OnqOPBNLWSHKh2a30DoXe8/edit?usp=sharing"",""ยะลา!J377"")"),1357)</f>
        <v>1357</v>
      </c>
      <c r="K482" s="208">
        <f t="shared" ca="1" si="117"/>
        <v>100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IFERROR(__xludf.DUMMYFUNCTION("IMPORTRANGE(""https://docs.google.com/spreadsheets/d/1IYY_tgx_IHuhSq3AJ5eI5OnqOPBNLWSHKh2a30DoXe8/edit?usp=sharing"",""ยะลา!I378"")"),0)</f>
        <v>0</v>
      </c>
      <c r="J483" s="195">
        <f ca="1">IFERROR(__xludf.DUMMYFUNCTION("IMPORTRANGE(""https://docs.google.com/spreadsheets/d/1IYY_tgx_IHuhSq3AJ5eI5OnqOPBNLWSHKh2a30DoXe8/edit?usp=sharing"",""ยะลา!J378"")"),5157)</f>
        <v>5157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IFERROR(__xludf.DUMMYFUNCTION("IMPORTRANGE(""https://docs.google.com/spreadsheets/d/1IYY_tgx_IHuhSq3AJ5eI5OnqOPBNLWSHKh2a30DoXe8/edit?usp=sharing"",""ยะลา!I379"")"),0)</f>
        <v>0</v>
      </c>
      <c r="J484" s="195">
        <f ca="1">IFERROR(__xludf.DUMMYFUNCTION("IMPORTRANGE(""https://docs.google.com/spreadsheets/d/1IYY_tgx_IHuhSq3AJ5eI5OnqOPBNLWSHKh2a30DoXe8/edit?usp=sharing"",""ยะลา!J379"")"),1314)</f>
        <v>1314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IFERROR(__xludf.DUMMYFUNCTION("IMPORTRANGE(""https://docs.google.com/spreadsheets/d/1IYY_tgx_IHuhSq3AJ5eI5OnqOPBNLWSHKh2a30DoXe8/edit?usp=sharing"",""ยะลา!I380"")"),0)</f>
        <v>0</v>
      </c>
      <c r="J485" s="195">
        <f ca="1">IFERROR(__xludf.DUMMYFUNCTION("IMPORTRANGE(""https://docs.google.com/spreadsheets/d/1IYY_tgx_IHuhSq3AJ5eI5OnqOPBNLWSHKh2a30DoXe8/edit?usp=sharing"",""ยะลา!J380"")"),0)</f>
        <v>0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IFERROR(__xludf.DUMMYFUNCTION("IMPORTRANGE(""https://docs.google.com/spreadsheets/d/1IYY_tgx_IHuhSq3AJ5eI5OnqOPBNLWSHKh2a30DoXe8/edit?usp=sharing"",""ยะลา!I381"")"),0)</f>
        <v>0</v>
      </c>
      <c r="J486" s="195">
        <f ca="1">IFERROR(__xludf.DUMMYFUNCTION("IMPORTRANGE(""https://docs.google.com/spreadsheets/d/1IYY_tgx_IHuhSq3AJ5eI5OnqOPBNLWSHKh2a30DoXe8/edit?usp=sharing"",""ยะลา!J381"")"),0)</f>
        <v>0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IFERROR(__xludf.DUMMYFUNCTION("IMPORTRANGE(""https://docs.google.com/spreadsheets/d/1IYY_tgx_IHuhSq3AJ5eI5OnqOPBNLWSHKh2a30DoXe8/edit?usp=sharing"",""ยะลา!I382"")"),0)</f>
        <v>0</v>
      </c>
      <c r="J487" s="426">
        <f ca="1">IFERROR(__xludf.DUMMYFUNCTION("IMPORTRANGE(""https://docs.google.com/spreadsheets/d/1IYY_tgx_IHuhSq3AJ5eI5OnqOPBNLWSHKh2a30DoXe8/edit?usp=sharing"",""ยะลา!J382"")"),184)</f>
        <v>184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IFERROR(__xludf.DUMMYFUNCTION("IMPORTRANGE(""https://docs.google.com/spreadsheets/d/1IYY_tgx_IHuhSq3AJ5eI5OnqOPBNLWSHKh2a30DoXe8/edit?usp=sharing"",""ยะลา!I383"")"),0)</f>
        <v>0</v>
      </c>
      <c r="J488" s="426">
        <f ca="1">IFERROR(__xludf.DUMMYFUNCTION("IMPORTRANGE(""https://docs.google.com/spreadsheets/d/1IYY_tgx_IHuhSq3AJ5eI5OnqOPBNLWSHKh2a30DoXe8/edit?usp=sharing"",""ยะลา!J383"")"),35)</f>
        <v>35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IFERROR(__xludf.DUMMYFUNCTION("IMPORTRANGE(""https://docs.google.com/spreadsheets/d/1IYY_tgx_IHuhSq3AJ5eI5OnqOPBNLWSHKh2a30DoXe8/edit?usp=sharing"",""ยะลา!I384"")"),0)</f>
        <v>0</v>
      </c>
      <c r="J489" s="195">
        <f ca="1">IFERROR(__xludf.DUMMYFUNCTION("IMPORTRANGE(""https://docs.google.com/spreadsheets/d/1IYY_tgx_IHuhSq3AJ5eI5OnqOPBNLWSHKh2a30DoXe8/edit?usp=sharing"",""ยะลา!J384"")"),184)</f>
        <v>184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IFERROR(__xludf.DUMMYFUNCTION("IMPORTRANGE(""https://docs.google.com/spreadsheets/d/1IYY_tgx_IHuhSq3AJ5eI5OnqOPBNLWSHKh2a30DoXe8/edit?usp=sharing"",""ยะลา!I385"")"),0)</f>
        <v>0</v>
      </c>
      <c r="J490" s="195">
        <f ca="1">IFERROR(__xludf.DUMMYFUNCTION("IMPORTRANGE(""https://docs.google.com/spreadsheets/d/1IYY_tgx_IHuhSq3AJ5eI5OnqOPBNLWSHKh2a30DoXe8/edit?usp=sharing"",""ยะลา!J385"")"),35)</f>
        <v>35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IFERROR(__xludf.DUMMYFUNCTION("IMPORTRANGE(""https://docs.google.com/spreadsheets/d/1IYY_tgx_IHuhSq3AJ5eI5OnqOPBNLWSHKh2a30DoXe8/edit?usp=sharing"",""ยะลา!I386"")"),0)</f>
        <v>0</v>
      </c>
      <c r="J491" s="195">
        <f ca="1">IFERROR(__xludf.DUMMYFUNCTION("IMPORTRANGE(""https://docs.google.com/spreadsheets/d/1IYY_tgx_IHuhSq3AJ5eI5OnqOPBNLWSHKh2a30DoXe8/edit?usp=sharing"",""ยะลา!J386"")"),0)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IFERROR(__xludf.DUMMYFUNCTION("IMPORTRANGE(""https://docs.google.com/spreadsheets/d/1IYY_tgx_IHuhSq3AJ5eI5OnqOPBNLWSHKh2a30DoXe8/edit?usp=sharing"",""ยะลา!I387"")"),0)</f>
        <v>0</v>
      </c>
      <c r="J492" s="195">
        <f ca="1">IFERROR(__xludf.DUMMYFUNCTION("IMPORTRANGE(""https://docs.google.com/spreadsheets/d/1IYY_tgx_IHuhSq3AJ5eI5OnqOPBNLWSHKh2a30DoXe8/edit?usp=sharing"",""ยะลา!J387"")"),0)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IFERROR(__xludf.DUMMYFUNCTION("IMPORTRANGE(""https://docs.google.com/spreadsheets/d/1IYY_tgx_IHuhSq3AJ5eI5OnqOPBNLWSHKh2a30DoXe8/edit?usp=sharing"",""ยะลา!I388"")"),0)</f>
        <v>0</v>
      </c>
      <c r="J493" s="195">
        <f ca="1">IFERROR(__xludf.DUMMYFUNCTION("IMPORTRANGE(""https://docs.google.com/spreadsheets/d/1IYY_tgx_IHuhSq3AJ5eI5OnqOPBNLWSHKh2a30DoXe8/edit?usp=sharing"",""ยะลา!J388"")"),50)</f>
        <v>50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IFERROR(__xludf.DUMMYFUNCTION("IMPORTRANGE(""https://docs.google.com/spreadsheets/d/1IYY_tgx_IHuhSq3AJ5eI5OnqOPBNLWSHKh2a30DoXe8/edit?usp=sharing"",""ยะลา!I389"")"),0)</f>
        <v>0</v>
      </c>
      <c r="J494" s="442">
        <f ca="1">IFERROR(__xludf.DUMMYFUNCTION("IMPORTRANGE(""https://docs.google.com/spreadsheets/d/1IYY_tgx_IHuhSq3AJ5eI5OnqOPBNLWSHKh2a30DoXe8/edit?usp=sharing"",""ยะลา!J389"")"),8)</f>
        <v>8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IFERROR(__xludf.DUMMYFUNCTION("IMPORTRANGE(""https://docs.google.com/spreadsheets/d/1IYY_tgx_IHuhSq3AJ5eI5OnqOPBNLWSHKh2a30DoXe8/edit?usp=sharing"",""ยะลา!I390"")"),0)</f>
        <v>0</v>
      </c>
      <c r="J495" s="442">
        <f ca="1">IFERROR(__xludf.DUMMYFUNCTION("IMPORTRANGE(""https://docs.google.com/spreadsheets/d/1IYY_tgx_IHuhSq3AJ5eI5OnqOPBNLWSHKh2a30DoXe8/edit?usp=sharing"",""ยะลา!J390"")"),0)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IFERROR(__xludf.DUMMYFUNCTION("IMPORTRANGE(""https://docs.google.com/spreadsheets/d/1IYY_tgx_IHuhSq3AJ5eI5OnqOPBNLWSHKh2a30DoXe8/edit?usp=sharing"",""ยะลา!I391"")"),0)</f>
        <v>0</v>
      </c>
      <c r="J496" s="442">
        <f ca="1">IFERROR(__xludf.DUMMYFUNCTION("IMPORTRANGE(""https://docs.google.com/spreadsheets/d/1IYY_tgx_IHuhSq3AJ5eI5OnqOPBNLWSHKh2a30DoXe8/edit?usp=sharing"",""ยะลา!J391"")"),0)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IFERROR(__xludf.DUMMYFUNCTION("IMPORTRANGE(""https://docs.google.com/spreadsheets/d/1IYY_tgx_IHuhSq3AJ5eI5OnqOPBNLWSHKh2a30DoXe8/edit?usp=sharing"",""ยะลา!I392"")"),0)</f>
        <v>0</v>
      </c>
      <c r="J497" s="449">
        <f ca="1">IFERROR(__xludf.DUMMYFUNCTION("IMPORTRANGE(""https://docs.google.com/spreadsheets/d/1IYY_tgx_IHuhSq3AJ5eI5OnqOPBNLWSHKh2a30DoXe8/edit?usp=sharing"",""ยะลา!J392"")"),0)</f>
        <v>0</v>
      </c>
      <c r="K497" s="450">
        <f t="shared" ca="1" si="117"/>
        <v>0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IFERROR(__xludf.DUMMYFUNCTION("IMPORTRANGE(""https://docs.google.com/spreadsheets/d/1IYY_tgx_IHuhSq3AJ5eI5OnqOPBNLWSHKh2a30DoXe8/edit?usp=sharing"",""ยะลา!I393"")"),0)</f>
        <v>0</v>
      </c>
      <c r="J498" s="426">
        <f ca="1">IFERROR(__xludf.DUMMYFUNCTION("IMPORTRANGE(""https://docs.google.com/spreadsheets/d/1IYY_tgx_IHuhSq3AJ5eI5OnqOPBNLWSHKh2a30DoXe8/edit?usp=sharing"",""ยะลา!J393"")"),0)</f>
        <v>0</v>
      </c>
      <c r="K498" s="167">
        <f t="shared" ca="1" si="117"/>
        <v>0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IFERROR(__xludf.DUMMYFUNCTION("IMPORTRANGE(""https://docs.google.com/spreadsheets/d/1IYY_tgx_IHuhSq3AJ5eI5OnqOPBNLWSHKh2a30DoXe8/edit?usp=sharing"",""ยะลา!I394"")"),0)</f>
        <v>0</v>
      </c>
      <c r="J499" s="426">
        <f ca="1">IFERROR(__xludf.DUMMYFUNCTION("IMPORTRANGE(""https://docs.google.com/spreadsheets/d/1IYY_tgx_IHuhSq3AJ5eI5OnqOPBNLWSHKh2a30DoXe8/edit?usp=sharing"",""ยะลา!J394"")"),0)</f>
        <v>0</v>
      </c>
      <c r="K499" s="208">
        <f t="shared" ca="1" si="117"/>
        <v>0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IFERROR(__xludf.DUMMYFUNCTION("IMPORTRANGE(""https://docs.google.com/spreadsheets/d/1IYY_tgx_IHuhSq3AJ5eI5OnqOPBNLWSHKh2a30DoXe8/edit?usp=sharing"",""ยะลา!I395"")"),0)</f>
        <v>0</v>
      </c>
      <c r="J500" s="166">
        <f ca="1">IFERROR(__xludf.DUMMYFUNCTION("IMPORTRANGE(""https://docs.google.com/spreadsheets/d/1IYY_tgx_IHuhSq3AJ5eI5OnqOPBNLWSHKh2a30DoXe8/edit?usp=sharing"",""ยะลา!J395"")"),0)</f>
        <v>0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IFERROR(__xludf.DUMMYFUNCTION("IMPORTRANGE(""https://docs.google.com/spreadsheets/d/1IYY_tgx_IHuhSq3AJ5eI5OnqOPBNLWSHKh2a30DoXe8/edit?usp=sharing"",""ยะลา!I396"")"),0)</f>
        <v>0</v>
      </c>
      <c r="J501" s="166">
        <f ca="1">IFERROR(__xludf.DUMMYFUNCTION("IMPORTRANGE(""https://docs.google.com/spreadsheets/d/1IYY_tgx_IHuhSq3AJ5eI5OnqOPBNLWSHKh2a30DoXe8/edit?usp=sharing"",""ยะลา!J396"")"),0)</f>
        <v>0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IFERROR(__xludf.DUMMYFUNCTION("IMPORTRANGE(""https://docs.google.com/spreadsheets/d/1IYY_tgx_IHuhSq3AJ5eI5OnqOPBNLWSHKh2a30DoXe8/edit?usp=sharing"",""ยะลา!I397"")"),0)</f>
        <v>0</v>
      </c>
      <c r="J502" s="195">
        <f ca="1">IFERROR(__xludf.DUMMYFUNCTION("IMPORTRANGE(""https://docs.google.com/spreadsheets/d/1IYY_tgx_IHuhSq3AJ5eI5OnqOPBNLWSHKh2a30DoXe8/edit?usp=sharing"",""ยะลา!J397"")"),0)</f>
        <v>0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IFERROR(__xludf.DUMMYFUNCTION("IMPORTRANGE(""https://docs.google.com/spreadsheets/d/1IYY_tgx_IHuhSq3AJ5eI5OnqOPBNLWSHKh2a30DoXe8/edit?usp=sharing"",""ยะลา!I398"")"),0)</f>
        <v>0</v>
      </c>
      <c r="J503" s="204">
        <f ca="1">IFERROR(__xludf.DUMMYFUNCTION("IMPORTRANGE(""https://docs.google.com/spreadsheets/d/1IYY_tgx_IHuhSq3AJ5eI5OnqOPBNLWSHKh2a30DoXe8/edit?usp=sharing"",""ยะลา!J398"")"),0)</f>
        <v>0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IFERROR(__xludf.DUMMYFUNCTION("IMPORTRANGE(""https://docs.google.com/spreadsheets/d/1IYY_tgx_IHuhSq3AJ5eI5OnqOPBNLWSHKh2a30DoXe8/edit?usp=sharing"",""ยะลา!I399"")"),0)</f>
        <v>0</v>
      </c>
      <c r="J504" s="195">
        <f ca="1">IFERROR(__xludf.DUMMYFUNCTION("IMPORTRANGE(""https://docs.google.com/spreadsheets/d/1IYY_tgx_IHuhSq3AJ5eI5OnqOPBNLWSHKh2a30DoXe8/edit?usp=sharing"",""ยะลา!J399"")"),0)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IFERROR(__xludf.DUMMYFUNCTION("IMPORTRANGE(""https://docs.google.com/spreadsheets/d/1IYY_tgx_IHuhSq3AJ5eI5OnqOPBNLWSHKh2a30DoXe8/edit?usp=sharing"",""ยะลา!I400"")"),0)</f>
        <v>0</v>
      </c>
      <c r="J505" s="204">
        <f ca="1">IFERROR(__xludf.DUMMYFUNCTION("IMPORTRANGE(""https://docs.google.com/spreadsheets/d/1IYY_tgx_IHuhSq3AJ5eI5OnqOPBNLWSHKh2a30DoXe8/edit?usp=sharing"",""ยะลา!J400"")"),0)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IFERROR(__xludf.DUMMYFUNCTION("IMPORTRANGE(""https://docs.google.com/spreadsheets/d/1IYY_tgx_IHuhSq3AJ5eI5OnqOPBNLWSHKh2a30DoXe8/edit?usp=sharing"",""ยะลา!I401"")"),0)</f>
        <v>0</v>
      </c>
      <c r="J506" s="195">
        <f ca="1">IFERROR(__xludf.DUMMYFUNCTION("IMPORTRANGE(""https://docs.google.com/spreadsheets/d/1IYY_tgx_IHuhSq3AJ5eI5OnqOPBNLWSHKh2a30DoXe8/edit?usp=sharing"",""ยะลา!J401"")"),0)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IFERROR(__xludf.DUMMYFUNCTION("IMPORTRANGE(""https://docs.google.com/spreadsheets/d/1IYY_tgx_IHuhSq3AJ5eI5OnqOPBNLWSHKh2a30DoXe8/edit?usp=sharing"",""ยะลา!I402"")"),0)</f>
        <v>0</v>
      </c>
      <c r="J507" s="204">
        <f ca="1">IFERROR(__xludf.DUMMYFUNCTION("IMPORTRANGE(""https://docs.google.com/spreadsheets/d/1IYY_tgx_IHuhSq3AJ5eI5OnqOPBNLWSHKh2a30DoXe8/edit?usp=sharing"",""ยะลา!J402"")"),0)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IFERROR(__xludf.DUMMYFUNCTION("IMPORTRANGE(""https://docs.google.com/spreadsheets/d/1IYY_tgx_IHuhSq3AJ5eI5OnqOPBNLWSHKh2a30DoXe8/edit?usp=sharing"",""ยะลา!I403"")"),0)</f>
        <v>0</v>
      </c>
      <c r="J508" s="166">
        <f ca="1">IFERROR(__xludf.DUMMYFUNCTION("IMPORTRANGE(""https://docs.google.com/spreadsheets/d/1IYY_tgx_IHuhSq3AJ5eI5OnqOPBNLWSHKh2a30DoXe8/edit?usp=sharing"",""ยะลา!J403"")"),0)</f>
        <v>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IFERROR(__xludf.DUMMYFUNCTION("IMPORTRANGE(""https://docs.google.com/spreadsheets/d/1IYY_tgx_IHuhSq3AJ5eI5OnqOPBNLWSHKh2a30DoXe8/edit?usp=sharing"",""ยะลา!I404"")"),0)</f>
        <v>0</v>
      </c>
      <c r="J509" s="166">
        <f ca="1">IFERROR(__xludf.DUMMYFUNCTION("IMPORTRANGE(""https://docs.google.com/spreadsheets/d/1IYY_tgx_IHuhSq3AJ5eI5OnqOPBNLWSHKh2a30DoXe8/edit?usp=sharing"",""ยะลา!J404"")"),0)</f>
        <v>0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IFERROR(__xludf.DUMMYFUNCTION("IMPORTRANGE(""https://docs.google.com/spreadsheets/d/1IYY_tgx_IHuhSq3AJ5eI5OnqOPBNLWSHKh2a30DoXe8/edit?usp=sharing"",""ยะลา!I405"")"),0)</f>
        <v>0</v>
      </c>
      <c r="J510" s="204">
        <f ca="1">IFERROR(__xludf.DUMMYFUNCTION("IMPORTRANGE(""https://docs.google.com/spreadsheets/d/1IYY_tgx_IHuhSq3AJ5eI5OnqOPBNLWSHKh2a30DoXe8/edit?usp=sharing"",""ยะลา!J405"")"),0)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IFERROR(__xludf.DUMMYFUNCTION("IMPORTRANGE(""https://docs.google.com/spreadsheets/d/1IYY_tgx_IHuhSq3AJ5eI5OnqOPBNLWSHKh2a30DoXe8/edit?usp=sharing"",""ยะลา!I406"")"),0)</f>
        <v>0</v>
      </c>
      <c r="J511" s="204">
        <f ca="1">IFERROR(__xludf.DUMMYFUNCTION("IMPORTRANGE(""https://docs.google.com/spreadsheets/d/1IYY_tgx_IHuhSq3AJ5eI5OnqOPBNLWSHKh2a30DoXe8/edit?usp=sharing"",""ยะลา!J406"")"),0)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IFERROR(__xludf.DUMMYFUNCTION("IMPORTRANGE(""https://docs.google.com/spreadsheets/d/1IYY_tgx_IHuhSq3AJ5eI5OnqOPBNLWSHKh2a30DoXe8/edit?usp=sharing"",""ยะลา!I407"")"),0)</f>
        <v>0</v>
      </c>
      <c r="J512" s="204">
        <f ca="1">IFERROR(__xludf.DUMMYFUNCTION("IMPORTRANGE(""https://docs.google.com/spreadsheets/d/1IYY_tgx_IHuhSq3AJ5eI5OnqOPBNLWSHKh2a30DoXe8/edit?usp=sharing"",""ยะลา!J407"")"),0)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IFERROR(__xludf.DUMMYFUNCTION("IMPORTRANGE(""https://docs.google.com/spreadsheets/d/1IYY_tgx_IHuhSq3AJ5eI5OnqOPBNLWSHKh2a30DoXe8/edit?usp=sharing"",""ยะลา!I408"")"),0)</f>
        <v>0</v>
      </c>
      <c r="J513" s="204">
        <f ca="1">IFERROR(__xludf.DUMMYFUNCTION("IMPORTRANGE(""https://docs.google.com/spreadsheets/d/1IYY_tgx_IHuhSq3AJ5eI5OnqOPBNLWSHKh2a30DoXe8/edit?usp=sharing"",""ยะลา!J408"")"),0)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IFERROR(__xludf.DUMMYFUNCTION("IMPORTRANGE(""https://docs.google.com/spreadsheets/d/1IYY_tgx_IHuhSq3AJ5eI5OnqOPBNLWSHKh2a30DoXe8/edit?usp=sharing"",""ยะลา!I409"")"),0)</f>
        <v>0</v>
      </c>
      <c r="J514" s="204">
        <f ca="1">IFERROR(__xludf.DUMMYFUNCTION("IMPORTRANGE(""https://docs.google.com/spreadsheets/d/1IYY_tgx_IHuhSq3AJ5eI5OnqOPBNLWSHKh2a30DoXe8/edit?usp=sharing"",""ยะลา!J409"")"),0)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IFERROR(__xludf.DUMMYFUNCTION("IMPORTRANGE(""https://docs.google.com/spreadsheets/d/1IYY_tgx_IHuhSq3AJ5eI5OnqOPBNLWSHKh2a30DoXe8/edit?usp=sharing"",""ยะลา!I410"")"),0)</f>
        <v>0</v>
      </c>
      <c r="J515" s="204">
        <f ca="1">IFERROR(__xludf.DUMMYFUNCTION("IMPORTRANGE(""https://docs.google.com/spreadsheets/d/1IYY_tgx_IHuhSq3AJ5eI5OnqOPBNLWSHKh2a30DoXe8/edit?usp=sharing"",""ยะลา!J410"")"),0)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IFERROR(__xludf.DUMMYFUNCTION("IMPORTRANGE(""https://docs.google.com/spreadsheets/d/1IYY_tgx_IHuhSq3AJ5eI5OnqOPBNLWSHKh2a30DoXe8/edit?usp=sharing"",""ยะลา!I411"")"),0)</f>
        <v>0</v>
      </c>
      <c r="J516" s="273">
        <f ca="1">IFERROR(__xludf.DUMMYFUNCTION("IMPORTRANGE(""https://docs.google.com/spreadsheets/d/1IYY_tgx_IHuhSq3AJ5eI5OnqOPBNLWSHKh2a30DoXe8/edit?usp=sharing"",""ยะลา!J411"")"),0)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IFERROR(__xludf.DUMMYFUNCTION("IMPORTRANGE(""https://docs.google.com/spreadsheets/d/1IYY_tgx_IHuhSq3AJ5eI5OnqOPBNLWSHKh2a30DoXe8/edit?usp=sharing"",""ยะลา!I412"")"),0)</f>
        <v>0</v>
      </c>
      <c r="J517" s="290">
        <f ca="1">IFERROR(__xludf.DUMMYFUNCTION("IMPORTRANGE(""https://docs.google.com/spreadsheets/d/1IYY_tgx_IHuhSq3AJ5eI5OnqOPBNLWSHKh2a30DoXe8/edit?usp=sharing"",""ยะลา!J412"")"),0)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IFERROR(__xludf.DUMMYFUNCTION("IMPORTRANGE(""https://docs.google.com/spreadsheets/d/1IYY_tgx_IHuhSq3AJ5eI5OnqOPBNLWSHKh2a30DoXe8/edit?usp=sharing"",""ยะลา!I413"")"),0)</f>
        <v>0</v>
      </c>
      <c r="J518" s="290">
        <f ca="1">IFERROR(__xludf.DUMMYFUNCTION("IMPORTRANGE(""https://docs.google.com/spreadsheets/d/1IYY_tgx_IHuhSq3AJ5eI5OnqOPBNLWSHKh2a30DoXe8/edit?usp=sharing"",""ยะลา!J413"")"),0)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IFERROR(__xludf.DUMMYFUNCTION("IMPORTRANGE(""https://docs.google.com/spreadsheets/d/1IYY_tgx_IHuhSq3AJ5eI5OnqOPBNLWSHKh2a30DoXe8/edit?usp=sharing"",""ยะลา!I414"")"),0)</f>
        <v>0</v>
      </c>
      <c r="J519" s="194">
        <f ca="1">IFERROR(__xludf.DUMMYFUNCTION("IMPORTRANGE(""https://docs.google.com/spreadsheets/d/1IYY_tgx_IHuhSq3AJ5eI5OnqOPBNLWSHKh2a30DoXe8/edit?usp=sharing"",""ยะลา!J414"")"),0)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IFERROR(__xludf.DUMMYFUNCTION("IMPORTRANGE(""https://docs.google.com/spreadsheets/d/1IYY_tgx_IHuhSq3AJ5eI5OnqOPBNLWSHKh2a30DoXe8/edit?usp=sharing"",""ยะลา!I415"")"),0)</f>
        <v>0</v>
      </c>
      <c r="J520" s="194">
        <f ca="1">IFERROR(__xludf.DUMMYFUNCTION("IMPORTRANGE(""https://docs.google.com/spreadsheets/d/1IYY_tgx_IHuhSq3AJ5eI5OnqOPBNLWSHKh2a30DoXe8/edit?usp=sharing"",""ยะลา!J415"")"),0)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IFERROR(__xludf.DUMMYFUNCTION("IMPORTRANGE(""https://docs.google.com/spreadsheets/d/1IYY_tgx_IHuhSq3AJ5eI5OnqOPBNLWSHKh2a30DoXe8/edit?usp=sharing"",""ยะลา!I416"")"),0)</f>
        <v>0</v>
      </c>
      <c r="J521" s="194">
        <f ca="1">IFERROR(__xludf.DUMMYFUNCTION("IMPORTRANGE(""https://docs.google.com/spreadsheets/d/1IYY_tgx_IHuhSq3AJ5eI5OnqOPBNLWSHKh2a30DoXe8/edit?usp=sharing"",""ยะลา!J416"")"),0)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IFERROR(__xludf.DUMMYFUNCTION("IMPORTRANGE(""https://docs.google.com/spreadsheets/d/1IYY_tgx_IHuhSq3AJ5eI5OnqOPBNLWSHKh2a30DoXe8/edit?usp=sharing"",""ยะลา!I417"")"),0)</f>
        <v>0</v>
      </c>
      <c r="J522" s="194">
        <f ca="1">IFERROR(__xludf.DUMMYFUNCTION("IMPORTRANGE(""https://docs.google.com/spreadsheets/d/1IYY_tgx_IHuhSq3AJ5eI5OnqOPBNLWSHKh2a30DoXe8/edit?usp=sharing"",""ยะลา!J417"")"),0)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IFERROR(__xludf.DUMMYFUNCTION("IMPORTRANGE(""https://docs.google.com/spreadsheets/d/1IYY_tgx_IHuhSq3AJ5eI5OnqOPBNLWSHKh2a30DoXe8/edit?usp=sharing"",""ยะลา!I418"")"),0)</f>
        <v>0</v>
      </c>
      <c r="J523" s="194">
        <f ca="1">IFERROR(__xludf.DUMMYFUNCTION("IMPORTRANGE(""https://docs.google.com/spreadsheets/d/1IYY_tgx_IHuhSq3AJ5eI5OnqOPBNLWSHKh2a30DoXe8/edit?usp=sharing"",""ยะลา!J418"")"),0)</f>
        <v>0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IFERROR(__xludf.DUMMYFUNCTION("IMPORTRANGE(""https://docs.google.com/spreadsheets/d/1IYY_tgx_IHuhSq3AJ5eI5OnqOPBNLWSHKh2a30DoXe8/edit?usp=sharing"",""ยะลา!I419"")"),0)</f>
        <v>0</v>
      </c>
      <c r="J524" s="194">
        <f ca="1">IFERROR(__xludf.DUMMYFUNCTION("IMPORTRANGE(""https://docs.google.com/spreadsheets/d/1IYY_tgx_IHuhSq3AJ5eI5OnqOPBNLWSHKh2a30DoXe8/edit?usp=sharing"",""ยะลา!J419"")"),0)</f>
        <v>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IFERROR(__xludf.DUMMYFUNCTION("IMPORTRANGE(""https://docs.google.com/spreadsheets/d/1IYY_tgx_IHuhSq3AJ5eI5OnqOPBNLWSHKh2a30DoXe8/edit?usp=sharing"",""ยะลา!I420"")"),0)</f>
        <v>0</v>
      </c>
      <c r="J525" s="290">
        <f ca="1">IFERROR(__xludf.DUMMYFUNCTION("IMPORTRANGE(""https://docs.google.com/spreadsheets/d/1IYY_tgx_IHuhSq3AJ5eI5OnqOPBNLWSHKh2a30DoXe8/edit?usp=sharing"",""ยะลา!J420"")"),0)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IFERROR(__xludf.DUMMYFUNCTION("IMPORTRANGE(""https://docs.google.com/spreadsheets/d/1IYY_tgx_IHuhSq3AJ5eI5OnqOPBNLWSHKh2a30DoXe8/edit?usp=sharing"",""ยะลา!I421"")"),0)</f>
        <v>0</v>
      </c>
      <c r="J526" s="290">
        <f ca="1">IFERROR(__xludf.DUMMYFUNCTION("IMPORTRANGE(""https://docs.google.com/spreadsheets/d/1IYY_tgx_IHuhSq3AJ5eI5OnqOPBNLWSHKh2a30DoXe8/edit?usp=sharing"",""ยะลา!J421"")"),0)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IFERROR(__xludf.DUMMYFUNCTION("IMPORTRANGE(""https://docs.google.com/spreadsheets/d/1IYY_tgx_IHuhSq3AJ5eI5OnqOPBNLWSHKh2a30DoXe8/edit?usp=sharing"",""ยะลา!I422"")"),0)</f>
        <v>0</v>
      </c>
      <c r="J527" s="204">
        <f ca="1">IFERROR(__xludf.DUMMYFUNCTION("IMPORTRANGE(""https://docs.google.com/spreadsheets/d/1IYY_tgx_IHuhSq3AJ5eI5OnqOPBNLWSHKh2a30DoXe8/edit?usp=sharing"",""ยะลา!J422"")"),0)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IFERROR(__xludf.DUMMYFUNCTION("IMPORTRANGE(""https://docs.google.com/spreadsheets/d/1IYY_tgx_IHuhSq3AJ5eI5OnqOPBNLWSHKh2a30DoXe8/edit?usp=sharing"",""ยะลา!I423"")"),0)</f>
        <v>0</v>
      </c>
      <c r="J528" s="204">
        <f ca="1">IFERROR(__xludf.DUMMYFUNCTION("IMPORTRANGE(""https://docs.google.com/spreadsheets/d/1IYY_tgx_IHuhSq3AJ5eI5OnqOPBNLWSHKh2a30DoXe8/edit?usp=sharing"",""ยะลา!J423"")"),0)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IFERROR(__xludf.DUMMYFUNCTION("IMPORTRANGE(""https://docs.google.com/spreadsheets/d/1IYY_tgx_IHuhSq3AJ5eI5OnqOPBNLWSHKh2a30DoXe8/edit?usp=sharing"",""ยะลา!I424"")"),0)</f>
        <v>0</v>
      </c>
      <c r="J529" s="204">
        <f ca="1">IFERROR(__xludf.DUMMYFUNCTION("IMPORTRANGE(""https://docs.google.com/spreadsheets/d/1IYY_tgx_IHuhSq3AJ5eI5OnqOPBNLWSHKh2a30DoXe8/edit?usp=sharing"",""ยะลา!J424"")"),0)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IFERROR(__xludf.DUMMYFUNCTION("IMPORTRANGE(""https://docs.google.com/spreadsheets/d/1IYY_tgx_IHuhSq3AJ5eI5OnqOPBNLWSHKh2a30DoXe8/edit?usp=sharing"",""ยะลา!I425"")"),0)</f>
        <v>0</v>
      </c>
      <c r="J530" s="204">
        <f ca="1">IFERROR(__xludf.DUMMYFUNCTION("IMPORTRANGE(""https://docs.google.com/spreadsheets/d/1IYY_tgx_IHuhSq3AJ5eI5OnqOPBNLWSHKh2a30DoXe8/edit?usp=sharing"",""ยะลา!J425"")"),0)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IFERROR(__xludf.DUMMYFUNCTION("IMPORTRANGE(""https://docs.google.com/spreadsheets/d/1IYY_tgx_IHuhSq3AJ5eI5OnqOPBNLWSHKh2a30DoXe8/edit?usp=sharing"",""ยะลา!I426"")"),0)</f>
        <v>0</v>
      </c>
      <c r="J531" s="204">
        <f ca="1">IFERROR(__xludf.DUMMYFUNCTION("IMPORTRANGE(""https://docs.google.com/spreadsheets/d/1IYY_tgx_IHuhSq3AJ5eI5OnqOPBNLWSHKh2a30DoXe8/edit?usp=sharing"",""ยะลา!J426"")"),0)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IFERROR(__xludf.DUMMYFUNCTION("IMPORTRANGE(""https://docs.google.com/spreadsheets/d/1IYY_tgx_IHuhSq3AJ5eI5OnqOPBNLWSHKh2a30DoXe8/edit?usp=sharing"",""ยะลา!I427"")"),0)</f>
        <v>0</v>
      </c>
      <c r="J532" s="472">
        <f ca="1">IFERROR(__xludf.DUMMYFUNCTION("IMPORTRANGE(""https://docs.google.com/spreadsheets/d/1IYY_tgx_IHuhSq3AJ5eI5OnqOPBNLWSHKh2a30DoXe8/edit?usp=sharing"",""ยะลา!J427"")"),0)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IFERROR(__xludf.DUMMYFUNCTION("IMPORTRANGE(""https://docs.google.com/spreadsheets/d/1IYY_tgx_IHuhSq3AJ5eI5OnqOPBNLWSHKh2a30DoXe8/edit?usp=sharing"",""ยะลา!I428"")"),16)</f>
        <v>16</v>
      </c>
      <c r="J533" s="416">
        <f ca="1">IFERROR(__xludf.DUMMYFUNCTION("IMPORTRANGE(""https://docs.google.com/spreadsheets/d/1IYY_tgx_IHuhSq3AJ5eI5OnqOPBNLWSHKh2a30DoXe8/edit?usp=sharing"",""ยะลา!J428"")"),16)</f>
        <v>16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IFERROR(__xludf.DUMMYFUNCTION("IMPORTRANGE(""https://docs.google.com/spreadsheets/d/1IYY_tgx_IHuhSq3AJ5eI5OnqOPBNLWSHKh2a30DoXe8/edit?usp=sharing"",""ยะลา!L428"")"),29240)</f>
        <v>29240</v>
      </c>
      <c r="M533" s="418"/>
      <c r="N533" s="418">
        <f ca="1">IFERROR(__xludf.DUMMYFUNCTION("IMPORTRANGE(""https://docs.google.com/spreadsheets/d/1IYY_tgx_IHuhSq3AJ5eI5OnqOPBNLWSHKh2a30DoXe8/edit?usp=sharing"",""ยะลา!M428"")"),16350)</f>
        <v>16350</v>
      </c>
      <c r="O533" s="418">
        <f t="shared" ref="O533:O537" ca="1" si="118">+IF(L533&gt;0,N533*100/L533,0)</f>
        <v>55.916552667578657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IFERROR(__xludf.DUMMYFUNCTION("IMPORTRANGE(""https://docs.google.com/spreadsheets/d/1IYY_tgx_IHuhSq3AJ5eI5OnqOPBNLWSHKh2a30DoXe8/edit?usp=sharing"",""ยะลา!L429"")"),0)</f>
        <v>0</v>
      </c>
      <c r="M534" s="168"/>
      <c r="N534" s="175">
        <f ca="1">IFERROR(__xludf.DUMMYFUNCTION("IMPORTRANGE(""https://docs.google.com/spreadsheets/d/1IYY_tgx_IHuhSq3AJ5eI5OnqOPBNLWSHKh2a30DoXe8/edit?usp=sharing"",""ยะลา!M429"")"),0)</f>
        <v>0</v>
      </c>
      <c r="O534" s="175">
        <f t="shared" ca="1" si="118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IFERROR(__xludf.DUMMYFUNCTION("IMPORTRANGE(""https://docs.google.com/spreadsheets/d/1IYY_tgx_IHuhSq3AJ5eI5OnqOPBNLWSHKh2a30DoXe8/edit?usp=sharing"",""ยะลา!L430"")"),29240)</f>
        <v>29240</v>
      </c>
      <c r="M535" s="169"/>
      <c r="N535" s="175">
        <f ca="1">IFERROR(__xludf.DUMMYFUNCTION("IMPORTRANGE(""https://docs.google.com/spreadsheets/d/1IYY_tgx_IHuhSq3AJ5eI5OnqOPBNLWSHKh2a30DoXe8/edit?usp=sharing"",""ยะลา!M430"")"),16350)</f>
        <v>16350</v>
      </c>
      <c r="O535" s="175">
        <f t="shared" ca="1" si="118"/>
        <v>55.916552667578657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IFERROR(__xludf.DUMMYFUNCTION("IMPORTRANGE(""https://docs.google.com/spreadsheets/d/1IYY_tgx_IHuhSq3AJ5eI5OnqOPBNLWSHKh2a30DoXe8/edit?usp=sharing"",""ยะลา!L431"")"),0)</f>
        <v>0</v>
      </c>
      <c r="M536" s="175"/>
      <c r="N536" s="175">
        <f ca="1">IFERROR(__xludf.DUMMYFUNCTION("IMPORTRANGE(""https://docs.google.com/spreadsheets/d/1IYY_tgx_IHuhSq3AJ5eI5OnqOPBNLWSHKh2a30DoXe8/edit?usp=sharing"",""ยะลา!M431"")"),0)</f>
        <v>0</v>
      </c>
      <c r="O536" s="175">
        <f t="shared" ca="1" si="118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IFERROR(__xludf.DUMMYFUNCTION("IMPORTRANGE(""https://docs.google.com/spreadsheets/d/1IYY_tgx_IHuhSq3AJ5eI5OnqOPBNLWSHKh2a30DoXe8/edit?usp=sharing"",""ยะลา!L432"")"),29240)</f>
        <v>29240</v>
      </c>
      <c r="M537" s="175"/>
      <c r="N537" s="175">
        <f ca="1">IFERROR(__xludf.DUMMYFUNCTION("IMPORTRANGE(""https://docs.google.com/spreadsheets/d/1IYY_tgx_IHuhSq3AJ5eI5OnqOPBNLWSHKh2a30DoXe8/edit?usp=sharing"",""ยะลา!M432"")"),16350)</f>
        <v>16350</v>
      </c>
      <c r="O537" s="175">
        <f t="shared" ca="1" si="118"/>
        <v>55.916552667578657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IFERROR(__xludf.DUMMYFUNCTION("IMPORTRANGE(""https://docs.google.com/spreadsheets/d/1IYY_tgx_IHuhSq3AJ5eI5OnqOPBNLWSHKh2a30DoXe8/edit?usp=sharing"",""ยะลา!M433"")"),11010)</f>
        <v>11010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IFERROR(__xludf.DUMMYFUNCTION("IMPORTRANGE(""https://docs.google.com/spreadsheets/d/1IYY_tgx_IHuhSq3AJ5eI5OnqOPBNLWSHKh2a30DoXe8/edit?usp=sharing"",""ยะลา!M434"")"),0)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IFERROR(__xludf.DUMMYFUNCTION("IMPORTRANGE(""https://docs.google.com/spreadsheets/d/1IYY_tgx_IHuhSq3AJ5eI5OnqOPBNLWSHKh2a30DoXe8/edit?usp=sharing"",""ยะลา!M435"")"),0)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IFERROR(__xludf.DUMMYFUNCTION("IMPORTRANGE(""https://docs.google.com/spreadsheets/d/1IYY_tgx_IHuhSq3AJ5eI5OnqOPBNLWSHKh2a30DoXe8/edit?usp=sharing"",""ยะลา!M436"")"),5340)</f>
        <v>5340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IFERROR(__xludf.DUMMYFUNCTION("IMPORTRANGE(""https://docs.google.com/spreadsheets/d/1IYY_tgx_IHuhSq3AJ5eI5OnqOPBNLWSHKh2a30DoXe8/edit?usp=sharing"",""ยะลา!J438"")"),0)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IFERROR(__xludf.DUMMYFUNCTION("IMPORTRANGE(""https://docs.google.com/spreadsheets/d/1IYY_tgx_IHuhSq3AJ5eI5OnqOPBNLWSHKh2a30DoXe8/edit?usp=sharing"",""ยะลา!J439"")"),1)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IFERROR(__xludf.DUMMYFUNCTION("IMPORTRANGE(""https://docs.google.com/spreadsheets/d/1IYY_tgx_IHuhSq3AJ5eI5OnqOPBNLWSHKh2a30DoXe8/edit?usp=sharing"",""ยะลา!J440"")"),1)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IFERROR(__xludf.DUMMYFUNCTION("IMPORTRANGE(""https://docs.google.com/spreadsheets/d/1IYY_tgx_IHuhSq3AJ5eI5OnqOPBNLWSHKh2a30DoXe8/edit?usp=sharing"",""ยะลา!J441"")"),1)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IFERROR(__xludf.DUMMYFUNCTION("IMPORTRANGE(""https://docs.google.com/spreadsheets/d/1IYY_tgx_IHuhSq3AJ5eI5OnqOPBNLWSHKh2a30DoXe8/edit?usp=sharing"",""ยะลา!I442"")"),16)</f>
        <v>16</v>
      </c>
      <c r="J547" s="195">
        <f ca="1">IFERROR(__xludf.DUMMYFUNCTION("IMPORTRANGE(""https://docs.google.com/spreadsheets/d/1IYY_tgx_IHuhSq3AJ5eI5OnqOPBNLWSHKh2a30DoXe8/edit?usp=sharing"",""ยะลา!J442"")"),16)</f>
        <v>16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IFERROR(__xludf.DUMMYFUNCTION("IMPORTRANGE(""https://docs.google.com/spreadsheets/d/1IYY_tgx_IHuhSq3AJ5eI5OnqOPBNLWSHKh2a30DoXe8/edit?usp=sharing"",""ยะลา!J166"")"),0)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IFERROR(__xludf.DUMMYFUNCTION("IMPORTRANGE(""https://docs.google.com/spreadsheets/d/1IYY_tgx_IHuhSq3AJ5eI5OnqOPBNLWSHKh2a30DoXe8/edit?usp=sharing"",""ยะลา!J444"")"),0)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IFERROR(__xludf.DUMMYFUNCTION("IMPORTRANGE(""https://docs.google.com/spreadsheets/d/1IYY_tgx_IHuhSq3AJ5eI5OnqOPBNLWSHKh2a30DoXe8/edit?usp=sharing"",""ยะลา!J445"")"),0)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IFERROR(__xludf.DUMMYFUNCTION("IMPORTRANGE(""https://docs.google.com/spreadsheets/d/1IYY_tgx_IHuhSq3AJ5eI5OnqOPBNLWSHKh2a30DoXe8/edit?usp=sharing"",""ยะลา!I446"")"),0)</f>
        <v>0</v>
      </c>
      <c r="J551" s="416">
        <f ca="1">IFERROR(__xludf.DUMMYFUNCTION("IMPORTRANGE(""https://docs.google.com/spreadsheets/d/1IYY_tgx_IHuhSq3AJ5eI5OnqOPBNLWSHKh2a30DoXe8/edit?usp=sharing"",""ยะลา!J446"")"),0)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IFERROR(__xludf.DUMMYFUNCTION("IMPORTRANGE(""https://docs.google.com/spreadsheets/d/1IYY_tgx_IHuhSq3AJ5eI5OnqOPBNLWSHKh2a30DoXe8/edit?usp=sharing"",""ยะลา!L446"")"),0)</f>
        <v>0</v>
      </c>
      <c r="M551" s="418"/>
      <c r="N551" s="418">
        <f ca="1">IFERROR(__xludf.DUMMYFUNCTION("IMPORTRANGE(""https://docs.google.com/spreadsheets/d/1IYY_tgx_IHuhSq3AJ5eI5OnqOPBNLWSHKh2a30DoXe8/edit?usp=sharing"",""ยะลา!M446"")"),0)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IFERROR(__xludf.DUMMYFUNCTION("IMPORTRANGE(""https://docs.google.com/spreadsheets/d/1IYY_tgx_IHuhSq3AJ5eI5OnqOPBNLWSHKh2a30DoXe8/edit?usp=sharing"",""ยะลา!L447"")"),0)</f>
        <v>0</v>
      </c>
      <c r="M552" s="168"/>
      <c r="N552" s="175">
        <f ca="1">IFERROR(__xludf.DUMMYFUNCTION("IMPORTRANGE(""https://docs.google.com/spreadsheets/d/1IYY_tgx_IHuhSq3AJ5eI5OnqOPBNLWSHKh2a30DoXe8/edit?usp=sharing"",""ยะลา!M447"")"),0)</f>
        <v>0</v>
      </c>
      <c r="O552" s="175">
        <f t="shared" ca="1" si="120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IFERROR(__xludf.DUMMYFUNCTION("IMPORTRANGE(""https://docs.google.com/spreadsheets/d/1IYY_tgx_IHuhSq3AJ5eI5OnqOPBNLWSHKh2a30DoXe8/edit?usp=sharing"",""ยะลา!L448"")"),0)</f>
        <v>0</v>
      </c>
      <c r="M553" s="169"/>
      <c r="N553" s="175">
        <f ca="1">IFERROR(__xludf.DUMMYFUNCTION("IMPORTRANGE(""https://docs.google.com/spreadsheets/d/1IYY_tgx_IHuhSq3AJ5eI5OnqOPBNLWSHKh2a30DoXe8/edit?usp=sharing"",""ยะลา!M448"")"),0)</f>
        <v>0</v>
      </c>
      <c r="O553" s="175">
        <f t="shared" ca="1" si="120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IFERROR(__xludf.DUMMYFUNCTION("IMPORTRANGE(""https://docs.google.com/spreadsheets/d/1IYY_tgx_IHuhSq3AJ5eI5OnqOPBNLWSHKh2a30DoXe8/edit?usp=sharing"",""ยะลา!L449"")"),0)</f>
        <v>0</v>
      </c>
      <c r="M554" s="175"/>
      <c r="N554" s="175">
        <f ca="1">IFERROR(__xludf.DUMMYFUNCTION("IMPORTRANGE(""https://docs.google.com/spreadsheets/d/1IYY_tgx_IHuhSq3AJ5eI5OnqOPBNLWSHKh2a30DoXe8/edit?usp=sharing"",""ยะลา!M449"")"),0)</f>
        <v>0</v>
      </c>
      <c r="O554" s="175">
        <f t="shared" ca="1" si="120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IFERROR(__xludf.DUMMYFUNCTION("IMPORTRANGE(""https://docs.google.com/spreadsheets/d/1IYY_tgx_IHuhSq3AJ5eI5OnqOPBNLWSHKh2a30DoXe8/edit?usp=sharing"",""ยะลา!L450"")"),0)</f>
        <v>0</v>
      </c>
      <c r="M555" s="175"/>
      <c r="N555" s="175">
        <f ca="1">IFERROR(__xludf.DUMMYFUNCTION("IMPORTRANGE(""https://docs.google.com/spreadsheets/d/1IYY_tgx_IHuhSq3AJ5eI5OnqOPBNLWSHKh2a30DoXe8/edit?usp=sharing"",""ยะลา!M450"")"),0)</f>
        <v>0</v>
      </c>
      <c r="O555" s="175">
        <f t="shared" ca="1" si="120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IFERROR(__xludf.DUMMYFUNCTION("IMPORTRANGE(""https://docs.google.com/spreadsheets/d/1IYY_tgx_IHuhSq3AJ5eI5OnqOPBNLWSHKh2a30DoXe8/edit?usp=sharing"",""ยะลา!M451"")"),0)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IFERROR(__xludf.DUMMYFUNCTION("IMPORTRANGE(""https://docs.google.com/spreadsheets/d/1IYY_tgx_IHuhSq3AJ5eI5OnqOPBNLWSHKh2a30DoXe8/edit?usp=sharing"",""ยะลา!M452"")"),0)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IFERROR(__xludf.DUMMYFUNCTION("IMPORTRANGE(""https://docs.google.com/spreadsheets/d/1IYY_tgx_IHuhSq3AJ5eI5OnqOPBNLWSHKh2a30DoXe8/edit?usp=sharing"",""ยะลา!M453"")"),0)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IFERROR(__xludf.DUMMYFUNCTION("IMPORTRANGE(""https://docs.google.com/spreadsheets/d/1IYY_tgx_IHuhSq3AJ5eI5OnqOPBNLWSHKh2a30DoXe8/edit?usp=sharing"",""ยะลา!M454"")"),0)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IFERROR(__xludf.DUMMYFUNCTION("IMPORTRANGE(""https://docs.google.com/spreadsheets/d/1IYY_tgx_IHuhSq3AJ5eI5OnqOPBNLWSHKh2a30DoXe8/edit?usp=sharing"",""ยะลา!I455"")"),0)</f>
        <v>0</v>
      </c>
      <c r="J560" s="166">
        <f ca="1">IFERROR(__xludf.DUMMYFUNCTION("IMPORTRANGE(""https://docs.google.com/spreadsheets/d/1IYY_tgx_IHuhSq3AJ5eI5OnqOPBNLWSHKh2a30DoXe8/edit?usp=sharing"",""ยะลา!J455"")"),0)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IFERROR(__xludf.DUMMYFUNCTION("IMPORTRANGE(""https://docs.google.com/spreadsheets/d/1IYY_tgx_IHuhSq3AJ5eI5OnqOPBNLWSHKh2a30DoXe8/edit?usp=sharing"",""ยะลา!I456"")"),0)</f>
        <v>0</v>
      </c>
      <c r="J561" s="210">
        <f ca="1">IFERROR(__xludf.DUMMYFUNCTION("IMPORTRANGE(""https://docs.google.com/spreadsheets/d/1IYY_tgx_IHuhSq3AJ5eI5OnqOPBNLWSHKh2a30DoXe8/edit?usp=sharing"",""ยะลา!J456"")"),0)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IFERROR(__xludf.DUMMYFUNCTION("IMPORTRANGE(""https://docs.google.com/spreadsheets/d/1IYY_tgx_IHuhSq3AJ5eI5OnqOPBNLWSHKh2a30DoXe8/edit?usp=sharing"",""ยะลา!I459"")"),150)</f>
        <v>150</v>
      </c>
      <c r="J564" s="377">
        <f ca="1">IFERROR(__xludf.DUMMYFUNCTION("IMPORTRANGE(""https://docs.google.com/spreadsheets/d/1IYY_tgx_IHuhSq3AJ5eI5OnqOPBNLWSHKh2a30DoXe8/edit?usp=sharing"",""ยะลา!J459"")"),354)</f>
        <v>354</v>
      </c>
      <c r="K564" s="378">
        <f ca="1">IF(I564&gt;0,J564*100/I564,0)</f>
        <v>236</v>
      </c>
      <c r="L564" s="379">
        <f ca="1">IFERROR(__xludf.DUMMYFUNCTION("IMPORTRANGE(""https://docs.google.com/spreadsheets/d/1IYY_tgx_IHuhSq3AJ5eI5OnqOPBNLWSHKh2a30DoXe8/edit?usp=sharing"",""ยะลา!L459"")"),123680)</f>
        <v>123680</v>
      </c>
      <c r="M564" s="379"/>
      <c r="N564" s="379">
        <f ca="1">IFERROR(__xludf.DUMMYFUNCTION("IMPORTRANGE(""https://docs.google.com/spreadsheets/d/1IYY_tgx_IHuhSq3AJ5eI5OnqOPBNLWSHKh2a30DoXe8/edit?usp=sharing"",""ยะลา!M459"")"),88855.95)</f>
        <v>88855.95</v>
      </c>
      <c r="O564" s="379">
        <f t="shared" ref="O564:O568" ca="1" si="122">+IF(L564&gt;0,N564*100/L564,0)</f>
        <v>71.8434265847348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IFERROR(__xludf.DUMMYFUNCTION("IMPORTRANGE(""https://docs.google.com/spreadsheets/d/1IYY_tgx_IHuhSq3AJ5eI5OnqOPBNLWSHKh2a30DoXe8/edit?usp=sharing"",""ยะลา!L460"")"),0)</f>
        <v>0</v>
      </c>
      <c r="M565" s="168"/>
      <c r="N565" s="175">
        <f ca="1">IFERROR(__xludf.DUMMYFUNCTION("IMPORTRANGE(""https://docs.google.com/spreadsheets/d/1IYY_tgx_IHuhSq3AJ5eI5OnqOPBNLWSHKh2a30DoXe8/edit?usp=sharing"",""ยะลา!M460"")"),0)</f>
        <v>0</v>
      </c>
      <c r="O565" s="175">
        <f t="shared" ca="1" si="122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IFERROR(__xludf.DUMMYFUNCTION("IMPORTRANGE(""https://docs.google.com/spreadsheets/d/1IYY_tgx_IHuhSq3AJ5eI5OnqOPBNLWSHKh2a30DoXe8/edit?usp=sharing"",""ยะลา!L461"")"),123680)</f>
        <v>123680</v>
      </c>
      <c r="M566" s="169"/>
      <c r="N566" s="175">
        <f ca="1">IFERROR(__xludf.DUMMYFUNCTION("IMPORTRANGE(""https://docs.google.com/spreadsheets/d/1IYY_tgx_IHuhSq3AJ5eI5OnqOPBNLWSHKh2a30DoXe8/edit?usp=sharing"",""ยะลา!M461"")"),88855.95)</f>
        <v>88855.95</v>
      </c>
      <c r="O566" s="175">
        <f t="shared" ca="1" si="122"/>
        <v>71.8434265847348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IFERROR(__xludf.DUMMYFUNCTION("IMPORTRANGE(""https://docs.google.com/spreadsheets/d/1IYY_tgx_IHuhSq3AJ5eI5OnqOPBNLWSHKh2a30DoXe8/edit?usp=sharing"",""ยะลา!L462"")"),0)</f>
        <v>0</v>
      </c>
      <c r="M567" s="175"/>
      <c r="N567" s="175">
        <f ca="1">IFERROR(__xludf.DUMMYFUNCTION("IMPORTRANGE(""https://docs.google.com/spreadsheets/d/1IYY_tgx_IHuhSq3AJ5eI5OnqOPBNLWSHKh2a30DoXe8/edit?usp=sharing"",""ยะลา!M462"")"),0)</f>
        <v>0</v>
      </c>
      <c r="O567" s="175">
        <f t="shared" ca="1" si="122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IFERROR(__xludf.DUMMYFUNCTION("IMPORTRANGE(""https://docs.google.com/spreadsheets/d/1IYY_tgx_IHuhSq3AJ5eI5OnqOPBNLWSHKh2a30DoXe8/edit?usp=sharing"",""ยะลา!L463"")"),123680)</f>
        <v>123680</v>
      </c>
      <c r="M568" s="175"/>
      <c r="N568" s="175">
        <f ca="1">IFERROR(__xludf.DUMMYFUNCTION("IMPORTRANGE(""https://docs.google.com/spreadsheets/d/1IYY_tgx_IHuhSq3AJ5eI5OnqOPBNLWSHKh2a30DoXe8/edit?usp=sharing"",""ยะลา!M463"")"),88855.95)</f>
        <v>88855.95</v>
      </c>
      <c r="O568" s="175">
        <f t="shared" ca="1" si="122"/>
        <v>71.8434265847348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IFERROR(__xludf.DUMMYFUNCTION("IMPORTRANGE(""https://docs.google.com/spreadsheets/d/1IYY_tgx_IHuhSq3AJ5eI5OnqOPBNLWSHKh2a30DoXe8/edit?usp=sharing"",""ยะลา!M464"")"),0)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IFERROR(__xludf.DUMMYFUNCTION("IMPORTRANGE(""https://docs.google.com/spreadsheets/d/1IYY_tgx_IHuhSq3AJ5eI5OnqOPBNLWSHKh2a30DoXe8/edit?usp=sharing"",""ยะลา!M465"")"),0)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IFERROR(__xludf.DUMMYFUNCTION("IMPORTRANGE(""https://docs.google.com/spreadsheets/d/1IYY_tgx_IHuhSq3AJ5eI5OnqOPBNLWSHKh2a30DoXe8/edit?usp=sharing"",""ยะลา!M466"")"),64175.95)</f>
        <v>64175.95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IFERROR(__xludf.DUMMYFUNCTION("IMPORTRANGE(""https://docs.google.com/spreadsheets/d/1IYY_tgx_IHuhSq3AJ5eI5OnqOPBNLWSHKh2a30DoXe8/edit?usp=sharing"",""ยะลา!M467"")"),24680)</f>
        <v>24680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IFERROR(__xludf.DUMMYFUNCTION("IMPORTRANGE(""https://docs.google.com/spreadsheets/d/1IYY_tgx_IHuhSq3AJ5eI5OnqOPBNLWSHKh2a30DoXe8/edit?usp=sharing"",""ยะลา!I468"")"),150)</f>
        <v>150</v>
      </c>
      <c r="J573" s="426">
        <f ca="1">IFERROR(__xludf.DUMMYFUNCTION("IMPORTRANGE(""https://docs.google.com/spreadsheets/d/1IYY_tgx_IHuhSq3AJ5eI5OnqOPBNLWSHKh2a30DoXe8/edit?usp=sharing"",""ยะลา!J468"")"),354)</f>
        <v>354</v>
      </c>
      <c r="K573" s="208">
        <f ca="1">IF(I573&gt;0,J573*100/I573,0)</f>
        <v>236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IFERROR(__xludf.DUMMYFUNCTION("IMPORTRANGE(""https://docs.google.com/spreadsheets/d/1IYY_tgx_IHuhSq3AJ5eI5OnqOPBNLWSHKh2a30DoXe8/edit?usp=sharing"",""ยะลา!I470"")"),0)</f>
        <v>0</v>
      </c>
      <c r="J575" s="204">
        <f ca="1">IFERROR(__xludf.DUMMYFUNCTION("IMPORTRANGE(""https://docs.google.com/spreadsheets/d/1IYY_tgx_IHuhSq3AJ5eI5OnqOPBNLWSHKh2a30DoXe8/edit?usp=sharing"",""ยะลา!J470"")"),4)</f>
        <v>4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IFERROR(__xludf.DUMMYFUNCTION("IMPORTRANGE(""https://docs.google.com/spreadsheets/d/1IYY_tgx_IHuhSq3AJ5eI5OnqOPBNLWSHKh2a30DoXe8/edit?usp=sharing"",""ยะลา!I471"")"),0)</f>
        <v>0</v>
      </c>
      <c r="J576" s="204">
        <f ca="1">IFERROR(__xludf.DUMMYFUNCTION("IMPORTRANGE(""https://docs.google.com/spreadsheets/d/1IYY_tgx_IHuhSq3AJ5eI5OnqOPBNLWSHKh2a30DoXe8/edit?usp=sharing"",""ยะลา!J471"")"),124)</f>
        <v>124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IFERROR(__xludf.DUMMYFUNCTION("IMPORTRANGE(""https://docs.google.com/spreadsheets/d/1IYY_tgx_IHuhSq3AJ5eI5OnqOPBNLWSHKh2a30DoXe8/edit?usp=sharing"",""ยะลา!I472"")"),0)</f>
        <v>0</v>
      </c>
      <c r="J577" s="195">
        <f ca="1">IFERROR(__xludf.DUMMYFUNCTION("IMPORTRANGE(""https://docs.google.com/spreadsheets/d/1IYY_tgx_IHuhSq3AJ5eI5OnqOPBNLWSHKh2a30DoXe8/edit?usp=sharing"",""ยะลา!J472"")"),230)</f>
        <v>230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IFERROR(__xludf.DUMMYFUNCTION("IMPORTRANGE(""https://docs.google.com/spreadsheets/d/1IYY_tgx_IHuhSq3AJ5eI5OnqOPBNLWSHKh2a30DoXe8/edit?usp=sharing"",""ยะลา!I473"")"),0)</f>
        <v>0</v>
      </c>
      <c r="J578" s="204">
        <f ca="1">IFERROR(__xludf.DUMMYFUNCTION("IMPORTRANGE(""https://docs.google.com/spreadsheets/d/1IYY_tgx_IHuhSq3AJ5eI5OnqOPBNLWSHKh2a30DoXe8/edit?usp=sharing"",""ยะลา!J473"")"),0)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IFERROR(__xludf.DUMMYFUNCTION("IMPORTRANGE(""https://docs.google.com/spreadsheets/d/1IYY_tgx_IHuhSq3AJ5eI5OnqOPBNLWSHKh2a30DoXe8/edit?usp=sharing"",""ยะลา!I474"")"),0)</f>
        <v>0</v>
      </c>
      <c r="J579" s="204">
        <f ca="1">IFERROR(__xludf.DUMMYFUNCTION("IMPORTRANGE(""https://docs.google.com/spreadsheets/d/1IYY_tgx_IHuhSq3AJ5eI5OnqOPBNLWSHKh2a30DoXe8/edit?usp=sharing"",""ยะลา!J474"")"),0)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IFERROR(__xludf.DUMMYFUNCTION("IMPORTRANGE(""https://docs.google.com/spreadsheets/d/1IYY_tgx_IHuhSq3AJ5eI5OnqOPBNLWSHKh2a30DoXe8/edit?usp=sharing"",""ยะลา!I475"")"),0)</f>
        <v>0</v>
      </c>
      <c r="J580" s="377">
        <f ca="1">IFERROR(__xludf.DUMMYFUNCTION("IMPORTRANGE(""https://docs.google.com/spreadsheets/d/1IYY_tgx_IHuhSq3AJ5eI5OnqOPBNLWSHKh2a30DoXe8/edit?usp=sharing"",""ยะลา!J475"")"),0)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IFERROR(__xludf.DUMMYFUNCTION("IMPORTRANGE(""https://docs.google.com/spreadsheets/d/1IYY_tgx_IHuhSq3AJ5eI5OnqOPBNLWSHKh2a30DoXe8/edit?usp=sharing"",""ยะลา!L475"")"),0)</f>
        <v>0</v>
      </c>
      <c r="M580" s="379"/>
      <c r="N580" s="379">
        <f ca="1">IFERROR(__xludf.DUMMYFUNCTION("IMPORTRANGE(""https://docs.google.com/spreadsheets/d/1IYY_tgx_IHuhSq3AJ5eI5OnqOPBNLWSHKh2a30DoXe8/edit?usp=sharing"",""ยะลา!M475"")"),0)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IFERROR(__xludf.DUMMYFUNCTION("IMPORTRANGE(""https://docs.google.com/spreadsheets/d/1IYY_tgx_IHuhSq3AJ5eI5OnqOPBNLWSHKh2a30DoXe8/edit?usp=sharing"",""ยะลา!L476"")"),0)</f>
        <v>0</v>
      </c>
      <c r="M581" s="168"/>
      <c r="N581" s="175">
        <f ca="1">IFERROR(__xludf.DUMMYFUNCTION("IMPORTRANGE(""https://docs.google.com/spreadsheets/d/1IYY_tgx_IHuhSq3AJ5eI5OnqOPBNLWSHKh2a30DoXe8/edit?usp=sharing"",""ยะลา!M476"")"),0)</f>
        <v>0</v>
      </c>
      <c r="O581" s="175">
        <f t="shared" ca="1" si="124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IFERROR(__xludf.DUMMYFUNCTION("IMPORTRANGE(""https://docs.google.com/spreadsheets/d/1IYY_tgx_IHuhSq3AJ5eI5OnqOPBNLWSHKh2a30DoXe8/edit?usp=sharing"",""ยะลา!L477"")"),0)</f>
        <v>0</v>
      </c>
      <c r="M582" s="169"/>
      <c r="N582" s="175">
        <f ca="1">IFERROR(__xludf.DUMMYFUNCTION("IMPORTRANGE(""https://docs.google.com/spreadsheets/d/1IYY_tgx_IHuhSq3AJ5eI5OnqOPBNLWSHKh2a30DoXe8/edit?usp=sharing"",""ยะลา!M477"")"),0)</f>
        <v>0</v>
      </c>
      <c r="O582" s="175">
        <f t="shared" ca="1" si="124"/>
        <v>0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IFERROR(__xludf.DUMMYFUNCTION("IMPORTRANGE(""https://docs.google.com/spreadsheets/d/1IYY_tgx_IHuhSq3AJ5eI5OnqOPBNLWSHKh2a30DoXe8/edit?usp=sharing"",""ยะลา!L478"")"),0)</f>
        <v>0</v>
      </c>
      <c r="M583" s="175"/>
      <c r="N583" s="175">
        <f ca="1">IFERROR(__xludf.DUMMYFUNCTION("IMPORTRANGE(""https://docs.google.com/spreadsheets/d/1IYY_tgx_IHuhSq3AJ5eI5OnqOPBNLWSHKh2a30DoXe8/edit?usp=sharing"",""ยะลา!M478"")"),0)</f>
        <v>0</v>
      </c>
      <c r="O583" s="175">
        <f t="shared" ca="1" si="124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IFERROR(__xludf.DUMMYFUNCTION("IMPORTRANGE(""https://docs.google.com/spreadsheets/d/1IYY_tgx_IHuhSq3AJ5eI5OnqOPBNLWSHKh2a30DoXe8/edit?usp=sharing"",""ยะลา!L479"")"),0)</f>
        <v>0</v>
      </c>
      <c r="M584" s="175"/>
      <c r="N584" s="175">
        <f ca="1">IFERROR(__xludf.DUMMYFUNCTION("IMPORTRANGE(""https://docs.google.com/spreadsheets/d/1IYY_tgx_IHuhSq3AJ5eI5OnqOPBNLWSHKh2a30DoXe8/edit?usp=sharing"",""ยะลา!M479"")"),0)</f>
        <v>0</v>
      </c>
      <c r="O584" s="175">
        <f t="shared" ca="1" si="124"/>
        <v>0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IFERROR(__xludf.DUMMYFUNCTION("IMPORTRANGE(""https://docs.google.com/spreadsheets/d/1IYY_tgx_IHuhSq3AJ5eI5OnqOPBNLWSHKh2a30DoXe8/edit?usp=sharing"",""ยะลา!M480"")"),0)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IFERROR(__xludf.DUMMYFUNCTION("IMPORTRANGE(""https://docs.google.com/spreadsheets/d/1IYY_tgx_IHuhSq3AJ5eI5OnqOPBNLWSHKh2a30DoXe8/edit?usp=sharing"",""ยะลา!M481"")"),0)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IFERROR(__xludf.DUMMYFUNCTION("IMPORTRANGE(""https://docs.google.com/spreadsheets/d/1IYY_tgx_IHuhSq3AJ5eI5OnqOPBNLWSHKh2a30DoXe8/edit?usp=sharing"",""ยะลา!M482"")"),0)</f>
        <v>0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IFERROR(__xludf.DUMMYFUNCTION("IMPORTRANGE(""https://docs.google.com/spreadsheets/d/1IYY_tgx_IHuhSq3AJ5eI5OnqOPBNLWSHKh2a30DoXe8/edit?usp=sharing"",""ยะลา!M483"")"),0)</f>
        <v>0</v>
      </c>
      <c r="O588" s="175"/>
      <c r="P588" s="175"/>
    </row>
    <row r="589" spans="1:16" ht="21.75" customHeight="1" x14ac:dyDescent="0.2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IFERROR(__xludf.DUMMYFUNCTION("IMPORTRANGE(""https://docs.google.com/spreadsheets/d/1IYY_tgx_IHuhSq3AJ5eI5OnqOPBNLWSHKh2a30DoXe8/edit?usp=sharing"",""ยะลา!I484"")"),0)</f>
        <v>0</v>
      </c>
      <c r="J589" s="194">
        <f ca="1">IFERROR(__xludf.DUMMYFUNCTION("IMPORTRANGE(""https://docs.google.com/spreadsheets/d/1IYY_tgx_IHuhSq3AJ5eI5OnqOPBNLWSHKh2a30DoXe8/edit?usp=sharing"",""ยะลา!J484"")"),0)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2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IFERROR(__xludf.DUMMYFUNCTION("IMPORTRANGE(""https://docs.google.com/spreadsheets/d/1IYY_tgx_IHuhSq3AJ5eI5OnqOPBNLWSHKh2a30DoXe8/edit?usp=sharing"",""ยะลา!I485"")"),0)</f>
        <v>0</v>
      </c>
      <c r="J590" s="194">
        <f ca="1">IFERROR(__xludf.DUMMYFUNCTION("IMPORTRANGE(""https://docs.google.com/spreadsheets/d/1IYY_tgx_IHuhSq3AJ5eI5OnqOPBNLWSHKh2a30DoXe8/edit?usp=sharing"",""ยะลา!J485"")"),0)</f>
        <v>0</v>
      </c>
      <c r="K590" s="486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IFERROR(__xludf.DUMMYFUNCTION("IMPORTRANGE(""https://docs.google.com/spreadsheets/d/1IYY_tgx_IHuhSq3AJ5eI5OnqOPBNLWSHKh2a30DoXe8/edit?usp=sharing"",""ยะลา!I486"")"),0)</f>
        <v>0</v>
      </c>
      <c r="J591" s="194">
        <f ca="1">IFERROR(__xludf.DUMMYFUNCTION("IMPORTRANGE(""https://docs.google.com/spreadsheets/d/1IYY_tgx_IHuhSq3AJ5eI5OnqOPBNLWSHKh2a30DoXe8/edit?usp=sharing"",""ยะลา!J486"")"),0)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2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IFERROR(__xludf.DUMMYFUNCTION("IMPORTRANGE(""https://docs.google.com/spreadsheets/d/1IYY_tgx_IHuhSq3AJ5eI5OnqOPBNLWSHKh2a30DoXe8/edit?usp=sharing"",""ยะลา!I487"")"),0)</f>
        <v>0</v>
      </c>
      <c r="J592" s="194">
        <f ca="1">IFERROR(__xludf.DUMMYFUNCTION("IMPORTRANGE(""https://docs.google.com/spreadsheets/d/1IYY_tgx_IHuhSq3AJ5eI5OnqOPBNLWSHKh2a30DoXe8/edit?usp=sharing"",""ยะลา!J487"")"),0)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IFERROR(__xludf.DUMMYFUNCTION("IMPORTRANGE(""https://docs.google.com/spreadsheets/d/1IYY_tgx_IHuhSq3AJ5eI5OnqOPBNLWSHKh2a30DoXe8/edit?usp=sharing"",""ยะลา!I488"")"),0)</f>
        <v>0</v>
      </c>
      <c r="J593" s="194">
        <f ca="1">IFERROR(__xludf.DUMMYFUNCTION("IMPORTRANGE(""https://docs.google.com/spreadsheets/d/1IYY_tgx_IHuhSq3AJ5eI5OnqOPBNLWSHKh2a30DoXe8/edit?usp=sharing"",""ยะลา!J488"")"),0)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2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IFERROR(__xludf.DUMMYFUNCTION("IMPORTRANGE(""https://docs.google.com/spreadsheets/d/1IYY_tgx_IHuhSq3AJ5eI5OnqOPBNLWSHKh2a30DoXe8/edit?usp=sharing"",""ยะลา!I489"")"),0)</f>
        <v>0</v>
      </c>
      <c r="J594" s="194">
        <f ca="1">IFERROR(__xludf.DUMMYFUNCTION("IMPORTRANGE(""https://docs.google.com/spreadsheets/d/1IYY_tgx_IHuhSq3AJ5eI5OnqOPBNLWSHKh2a30DoXe8/edit?usp=sharing"",""ยะลา!J489"")"),0)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IFERROR(__xludf.DUMMYFUNCTION("IMPORTRANGE(""https://docs.google.com/spreadsheets/d/1IYY_tgx_IHuhSq3AJ5eI5OnqOPBNLWSHKh2a30DoXe8/edit?usp=sharing"",""ยะลา!I490"")"),0)</f>
        <v>0</v>
      </c>
      <c r="J595" s="194">
        <f ca="1">IFERROR(__xludf.DUMMYFUNCTION("IMPORTRANGE(""https://docs.google.com/spreadsheets/d/1IYY_tgx_IHuhSq3AJ5eI5OnqOPBNLWSHKh2a30DoXe8/edit?usp=sharing"",""ยะลา!J490"")"),0)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2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IFERROR(__xludf.DUMMYFUNCTION("IMPORTRANGE(""https://docs.google.com/spreadsheets/d/1IYY_tgx_IHuhSq3AJ5eI5OnqOPBNLWSHKh2a30DoXe8/edit?usp=sharing"",""ยะลา!I491"")"),0)</f>
        <v>0</v>
      </c>
      <c r="J596" s="247">
        <f ca="1">IFERROR(__xludf.DUMMYFUNCTION("IMPORTRANGE(""https://docs.google.com/spreadsheets/d/1IYY_tgx_IHuhSq3AJ5eI5OnqOPBNLWSHKh2a30DoXe8/edit?usp=sharing"",""ยะลา!J491"")"),0)</f>
        <v>0</v>
      </c>
      <c r="K596" s="493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IFERROR(__xludf.DUMMYFUNCTION("IMPORTRANGE(""https://docs.google.com/spreadsheets/d/1IYY_tgx_IHuhSq3AJ5eI5OnqOPBNLWSHKh2a30DoXe8/edit?usp=sharing"",""ยะลา!I492"")"),50)</f>
        <v>50</v>
      </c>
      <c r="J597" s="494">
        <f ca="1">IFERROR(__xludf.DUMMYFUNCTION("IMPORTRANGE(""https://docs.google.com/spreadsheets/d/1IYY_tgx_IHuhSq3AJ5eI5OnqOPBNLWSHKh2a30DoXe8/edit?usp=sharing"",""ยะลา!J492"")"),0)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IFERROR(__xludf.DUMMYFUNCTION("IMPORTRANGE(""https://docs.google.com/spreadsheets/d/1IYY_tgx_IHuhSq3AJ5eI5OnqOPBNLWSHKh2a30DoXe8/edit?usp=sharing"",""ยะลา!L492"")"),1800)</f>
        <v>1800</v>
      </c>
      <c r="M597" s="418"/>
      <c r="N597" s="418">
        <f ca="1">IFERROR(__xludf.DUMMYFUNCTION("IMPORTRANGE(""https://docs.google.com/spreadsheets/d/1IYY_tgx_IHuhSq3AJ5eI5OnqOPBNLWSHKh2a30DoXe8/edit?usp=sharing"",""ยะลา!M492"")"),1800)</f>
        <v>1800</v>
      </c>
      <c r="O597" s="418">
        <f t="shared" ref="O597:O601" ca="1" si="126">+IF(L597&gt;0,N597*100/L597,0)</f>
        <v>100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IFERROR(__xludf.DUMMYFUNCTION("IMPORTRANGE(""https://docs.google.com/spreadsheets/d/1IYY_tgx_IHuhSq3AJ5eI5OnqOPBNLWSHKh2a30DoXe8/edit?usp=sharing"",""ยะลา!L493"")"),0)</f>
        <v>0</v>
      </c>
      <c r="M598" s="168"/>
      <c r="N598" s="175">
        <f ca="1">IFERROR(__xludf.DUMMYFUNCTION("IMPORTRANGE(""https://docs.google.com/spreadsheets/d/1IYY_tgx_IHuhSq3AJ5eI5OnqOPBNLWSHKh2a30DoXe8/edit?usp=sharing"",""ยะลา!M493"")"),0)</f>
        <v>0</v>
      </c>
      <c r="O598" s="175">
        <f t="shared" ca="1" si="126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IFERROR(__xludf.DUMMYFUNCTION("IMPORTRANGE(""https://docs.google.com/spreadsheets/d/1IYY_tgx_IHuhSq3AJ5eI5OnqOPBNLWSHKh2a30DoXe8/edit?usp=sharing"",""ยะลา!L494"")"),1800)</f>
        <v>1800</v>
      </c>
      <c r="M599" s="169"/>
      <c r="N599" s="175">
        <f ca="1">IFERROR(__xludf.DUMMYFUNCTION("IMPORTRANGE(""https://docs.google.com/spreadsheets/d/1IYY_tgx_IHuhSq3AJ5eI5OnqOPBNLWSHKh2a30DoXe8/edit?usp=sharing"",""ยะลา!M494"")"),1800)</f>
        <v>1800</v>
      </c>
      <c r="O599" s="175">
        <f t="shared" ca="1" si="126"/>
        <v>100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IFERROR(__xludf.DUMMYFUNCTION("IMPORTRANGE(""https://docs.google.com/spreadsheets/d/1IYY_tgx_IHuhSq3AJ5eI5OnqOPBNLWSHKh2a30DoXe8/edit?usp=sharing"",""ยะลา!L495"")"),0)</f>
        <v>0</v>
      </c>
      <c r="M600" s="175"/>
      <c r="N600" s="175">
        <f ca="1">IFERROR(__xludf.DUMMYFUNCTION("IMPORTRANGE(""https://docs.google.com/spreadsheets/d/1IYY_tgx_IHuhSq3AJ5eI5OnqOPBNLWSHKh2a30DoXe8/edit?usp=sharing"",""ยะลา!M495"")"),0)</f>
        <v>0</v>
      </c>
      <c r="O600" s="175">
        <f t="shared" ca="1" si="126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IFERROR(__xludf.DUMMYFUNCTION("IMPORTRANGE(""https://docs.google.com/spreadsheets/d/1IYY_tgx_IHuhSq3AJ5eI5OnqOPBNLWSHKh2a30DoXe8/edit?usp=sharing"",""ยะลา!L496"")"),1800)</f>
        <v>1800</v>
      </c>
      <c r="M601" s="175"/>
      <c r="N601" s="175">
        <f ca="1">IFERROR(__xludf.DUMMYFUNCTION("IMPORTRANGE(""https://docs.google.com/spreadsheets/d/1IYY_tgx_IHuhSq3AJ5eI5OnqOPBNLWSHKh2a30DoXe8/edit?usp=sharing"",""ยะลา!M496"")"),1800)</f>
        <v>1800</v>
      </c>
      <c r="O601" s="175">
        <f t="shared" ca="1" si="126"/>
        <v>100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IFERROR(__xludf.DUMMYFUNCTION("IMPORTRANGE(""https://docs.google.com/spreadsheets/d/1IYY_tgx_IHuhSq3AJ5eI5OnqOPBNLWSHKh2a30DoXe8/edit?usp=sharing"",""ยะลา!M497"")"),0)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IFERROR(__xludf.DUMMYFUNCTION("IMPORTRANGE(""https://docs.google.com/spreadsheets/d/1IYY_tgx_IHuhSq3AJ5eI5OnqOPBNLWSHKh2a30DoXe8/edit?usp=sharing"",""ยะลา!M498"")"),0)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IFERROR(__xludf.DUMMYFUNCTION("IMPORTRANGE(""https://docs.google.com/spreadsheets/d/1IYY_tgx_IHuhSq3AJ5eI5OnqOPBNLWSHKh2a30DoXe8/edit?usp=sharing"",""ยะลา!M499"")"),0)</f>
        <v>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IFERROR(__xludf.DUMMYFUNCTION("IMPORTRANGE(""https://docs.google.com/spreadsheets/d/1IYY_tgx_IHuhSq3AJ5eI5OnqOPBNLWSHKh2a30DoXe8/edit?usp=sharing"",""ยะลา!M500"")"),1800)</f>
        <v>1800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IFERROR(__xludf.DUMMYFUNCTION("IMPORTRANGE(""https://docs.google.com/spreadsheets/d/1IYY_tgx_IHuhSq3AJ5eI5OnqOPBNLWSHKh2a30DoXe8/edit?usp=sharing"",""ยะลา!J502"")"),0)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IFERROR(__xludf.DUMMYFUNCTION("IMPORTRANGE(""https://docs.google.com/spreadsheets/d/1IYY_tgx_IHuhSq3AJ5eI5OnqOPBNLWSHKh2a30DoXe8/edit?usp=sharing"",""ยะลา!J503"")"),1)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IFERROR(__xludf.DUMMYFUNCTION("IMPORTRANGE(""https://docs.google.com/spreadsheets/d/1IYY_tgx_IHuhSq3AJ5eI5OnqOPBNLWSHKh2a30DoXe8/edit?usp=sharing"",""ยะลา!J166"")"),0)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2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IFERROR(__xludf.DUMMYFUNCTION("IMPORTRANGE(""https://docs.google.com/spreadsheets/d/1IYY_tgx_IHuhSq3AJ5eI5OnqOPBNLWSHKh2a30DoXe8/edit?usp=sharing"",""ยะลา!J166"")"),0)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IFERROR(__xludf.DUMMYFUNCTION("IMPORTRANGE(""https://docs.google.com/spreadsheets/d/1IYY_tgx_IHuhSq3AJ5eI5OnqOPBNLWSHKh2a30DoXe8/edit?usp=sharing"",""ยะลา!I506"")"),50)</f>
        <v>50</v>
      </c>
      <c r="J611" s="166">
        <f ca="1">IFERROR(__xludf.DUMMYFUNCTION("IMPORTRANGE(""https://docs.google.com/spreadsheets/d/1IYY_tgx_IHuhSq3AJ5eI5OnqOPBNLWSHKh2a30DoXe8/edit?usp=sharing"",""ยะลา!J506"")"),0)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IFERROR(__xludf.DUMMYFUNCTION("IMPORTRANGE(""https://docs.google.com/spreadsheets/d/1IYY_tgx_IHuhSq3AJ5eI5OnqOPBNLWSHKh2a30DoXe8/edit?usp=sharing"",""ยะลา!I507"")"),0)</f>
        <v>0</v>
      </c>
      <c r="J612" s="204">
        <f ca="1">IFERROR(__xludf.DUMMYFUNCTION("IMPORTRANGE(""https://docs.google.com/spreadsheets/d/1IYY_tgx_IHuhSq3AJ5eI5OnqOPBNLWSHKh2a30DoXe8/edit?usp=sharing"",""ยะลา!J507"")"),29)</f>
        <v>29</v>
      </c>
      <c r="K612" s="167">
        <f t="shared" ca="1" si="127"/>
        <v>58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IFERROR(__xludf.DUMMYFUNCTION("IMPORTRANGE(""https://docs.google.com/spreadsheets/d/1IYY_tgx_IHuhSq3AJ5eI5OnqOPBNLWSHKh2a30DoXe8/edit?usp=sharing"",""ยะลา!I508"")"),0)</f>
        <v>0</v>
      </c>
      <c r="J613" s="204">
        <f ca="1">IFERROR(__xludf.DUMMYFUNCTION("IMPORTRANGE(""https://docs.google.com/spreadsheets/d/1IYY_tgx_IHuhSq3AJ5eI5OnqOPBNLWSHKh2a30DoXe8/edit?usp=sharing"",""ยะลา!J508"")"),29)</f>
        <v>29</v>
      </c>
      <c r="K613" s="167">
        <f t="shared" ca="1" si="127"/>
        <v>58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IFERROR(__xludf.DUMMYFUNCTION("IMPORTRANGE(""https://docs.google.com/spreadsheets/d/1IYY_tgx_IHuhSq3AJ5eI5OnqOPBNLWSHKh2a30DoXe8/edit?usp=sharing"",""ยะลา!I509"")"),0)</f>
        <v>0</v>
      </c>
      <c r="J614" s="204">
        <f ca="1">IFERROR(__xludf.DUMMYFUNCTION("IMPORTRANGE(""https://docs.google.com/spreadsheets/d/1IYY_tgx_IHuhSq3AJ5eI5OnqOPBNLWSHKh2a30DoXe8/edit?usp=sharing"",""ยะลา!J509"")"),0)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IFERROR(__xludf.DUMMYFUNCTION("IMPORTRANGE(""https://docs.google.com/spreadsheets/d/1IYY_tgx_IHuhSq3AJ5eI5OnqOPBNLWSHKh2a30DoXe8/edit?usp=sharing"",""ยะลา!I510"")"),0)</f>
        <v>0</v>
      </c>
      <c r="J615" s="204">
        <f ca="1">IFERROR(__xludf.DUMMYFUNCTION("IMPORTRANGE(""https://docs.google.com/spreadsheets/d/1IYY_tgx_IHuhSq3AJ5eI5OnqOPBNLWSHKh2a30DoXe8/edit?usp=sharing"",""ยะลา!J510"")"),0)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IFERROR(__xludf.DUMMYFUNCTION("IMPORTRANGE(""https://docs.google.com/spreadsheets/d/1IYY_tgx_IHuhSq3AJ5eI5OnqOPBNLWSHKh2a30DoXe8/edit?usp=sharing"",""ยะลา!I511"")"),0)</f>
        <v>0</v>
      </c>
      <c r="J616" s="204">
        <f ca="1">IFERROR(__xludf.DUMMYFUNCTION("IMPORTRANGE(""https://docs.google.com/spreadsheets/d/1IYY_tgx_IHuhSq3AJ5eI5OnqOPBNLWSHKh2a30DoXe8/edit?usp=sharing"",""ยะลา!J511"")"),0)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IFERROR(__xludf.DUMMYFUNCTION("IMPORTRANGE(""https://docs.google.com/spreadsheets/d/1IYY_tgx_IHuhSq3AJ5eI5OnqOPBNLWSHKh2a30DoXe8/edit?usp=sharing"",""ยะลา!I512"")"),0)</f>
        <v>0</v>
      </c>
      <c r="J617" s="194">
        <f ca="1">IFERROR(__xludf.DUMMYFUNCTION("IMPORTRANGE(""https://docs.google.com/spreadsheets/d/1IYY_tgx_IHuhSq3AJ5eI5OnqOPBNLWSHKh2a30DoXe8/edit?usp=sharing"",""ยะลา!J512"")"),0)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IFERROR(__xludf.DUMMYFUNCTION("IMPORTRANGE(""https://docs.google.com/spreadsheets/d/1IYY_tgx_IHuhSq3AJ5eI5OnqOPBNLWSHKh2a30DoXe8/edit?usp=sharing"",""ยะลา!I513"")"),0)</f>
        <v>0</v>
      </c>
      <c r="J618" s="195">
        <f ca="1">IFERROR(__xludf.DUMMYFUNCTION("IMPORTRANGE(""https://docs.google.com/spreadsheets/d/1IYY_tgx_IHuhSq3AJ5eI5OnqOPBNLWSHKh2a30DoXe8/edit?usp=sharing"",""ยะลา!J513"")"),0)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IFERROR(__xludf.DUMMYFUNCTION("IMPORTRANGE(""https://docs.google.com/spreadsheets/d/1IYY_tgx_IHuhSq3AJ5eI5OnqOPBNLWSHKh2a30DoXe8/edit?usp=sharing"",""ยะลา!I514"")"),0)</f>
        <v>0</v>
      </c>
      <c r="J619" s="195">
        <f ca="1">IFERROR(__xludf.DUMMYFUNCTION("IMPORTRANGE(""https://docs.google.com/spreadsheets/d/1IYY_tgx_IHuhSq3AJ5eI5OnqOPBNLWSHKh2a30DoXe8/edit?usp=sharing"",""ยะลา!J514"")"),0)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IFERROR(__xludf.DUMMYFUNCTION("IMPORTRANGE(""https://docs.google.com/spreadsheets/d/1IYY_tgx_IHuhSq3AJ5eI5OnqOPBNLWSHKh2a30DoXe8/edit?usp=sharing"",""ยะลา!I515"")"),0)</f>
        <v>0</v>
      </c>
      <c r="J620" s="209">
        <f ca="1">IFERROR(__xludf.DUMMYFUNCTION("IMPORTRANGE(""https://docs.google.com/spreadsheets/d/1IYY_tgx_IHuhSq3AJ5eI5OnqOPBNLWSHKh2a30DoXe8/edit?usp=sharing"",""ยะลา!J515"")"),0)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IFERROR(__xludf.DUMMYFUNCTION("IMPORTRANGE(""https://docs.google.com/spreadsheets/d/1IYY_tgx_IHuhSq3AJ5eI5OnqOPBNLWSHKh2a30DoXe8/edit?usp=sharing"",""ยะลา!I516"")"),0)</f>
        <v>0</v>
      </c>
      <c r="J621" s="209">
        <f ca="1">IFERROR(__xludf.DUMMYFUNCTION("IMPORTRANGE(""https://docs.google.com/spreadsheets/d/1IYY_tgx_IHuhSq3AJ5eI5OnqOPBNLWSHKh2a30DoXe8/edit?usp=sharing"",""ยะลา!J516"")"),0)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IFERROR(__xludf.DUMMYFUNCTION("IMPORTRANGE(""https://docs.google.com/spreadsheets/d/1IYY_tgx_IHuhSq3AJ5eI5OnqOPBNLWSHKh2a30DoXe8/edit?usp=sharing"",""ยะลา!I517"")"),0)</f>
        <v>0</v>
      </c>
      <c r="J622" s="195">
        <f ca="1">IFERROR(__xludf.DUMMYFUNCTION("IMPORTRANGE(""https://docs.google.com/spreadsheets/d/1IYY_tgx_IHuhSq3AJ5eI5OnqOPBNLWSHKh2a30DoXe8/edit?usp=sharing"",""ยะลา!J517"")"),0)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IFERROR(__xludf.DUMMYFUNCTION("IMPORTRANGE(""https://docs.google.com/spreadsheets/d/1IYY_tgx_IHuhSq3AJ5eI5OnqOPBNLWSHKh2a30DoXe8/edit?usp=sharing"",""ยะลา!I518"")"),0)</f>
        <v>0</v>
      </c>
      <c r="J623" s="195">
        <f ca="1">IFERROR(__xludf.DUMMYFUNCTION("IMPORTRANGE(""https://docs.google.com/spreadsheets/d/1IYY_tgx_IHuhSq3AJ5eI5OnqOPBNLWSHKh2a30DoXe8/edit?usp=sharing"",""ยะลา!J518"")"),0)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IFERROR(__xludf.DUMMYFUNCTION("IMPORTRANGE(""https://docs.google.com/spreadsheets/d/1IYY_tgx_IHuhSq3AJ5eI5OnqOPBNLWSHKh2a30DoXe8/edit?usp=sharing"",""ยะลา!I519"")"),0)</f>
        <v>0</v>
      </c>
      <c r="J624" s="194">
        <f ca="1">IFERROR(__xludf.DUMMYFUNCTION("IMPORTRANGE(""https://docs.google.com/spreadsheets/d/1IYY_tgx_IHuhSq3AJ5eI5OnqOPBNLWSHKh2a30DoXe8/edit?usp=sharing"",""ยะลา!J519"")"),0)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IFERROR(__xludf.DUMMYFUNCTION("IMPORTRANGE(""https://docs.google.com/spreadsheets/d/1IYY_tgx_IHuhSq3AJ5eI5OnqOPBNLWSHKh2a30DoXe8/edit?usp=sharing"",""ยะลา!I520"")"),0)</f>
        <v>0</v>
      </c>
      <c r="J625" s="195">
        <f ca="1">IFERROR(__xludf.DUMMYFUNCTION("IMPORTRANGE(""https://docs.google.com/spreadsheets/d/1IYY_tgx_IHuhSq3AJ5eI5OnqOPBNLWSHKh2a30DoXe8/edit?usp=sharing"",""ยะลา!J520"")"),0)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IFERROR(__xludf.DUMMYFUNCTION("IMPORTRANGE(""https://docs.google.com/spreadsheets/d/1IYY_tgx_IHuhSq3AJ5eI5OnqOPBNLWSHKh2a30DoXe8/edit?usp=sharing"",""ยะลา!I521"")"),0)</f>
        <v>0</v>
      </c>
      <c r="J626" s="195">
        <f ca="1">IFERROR(__xludf.DUMMYFUNCTION("IMPORTRANGE(""https://docs.google.com/spreadsheets/d/1IYY_tgx_IHuhSq3AJ5eI5OnqOPBNLWSHKh2a30DoXe8/edit?usp=sharing"",""ยะลา!J521"")"),0)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2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2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IFERROR(__xludf.DUMMYFUNCTION("IMPORTRANGE(""https://docs.google.com/spreadsheets/d/1IYY_tgx_IHuhSq3AJ5eI5OnqOPBNLWSHKh2a30DoXe8/edit?usp=sharing"",""ยะลา!I523"")"),598614.42)</f>
        <v>598614.42000000004</v>
      </c>
      <c r="J628" s="347">
        <f ca="1">IFERROR(__xludf.DUMMYFUNCTION("IMPORTRANGE(""https://docs.google.com/spreadsheets/d/1IYY_tgx_IHuhSq3AJ5eI5OnqOPBNLWSHKh2a30DoXe8/edit?usp=sharing"",""ยะลา!J523"")"),433154.29)</f>
        <v>433154.29</v>
      </c>
      <c r="K628" s="348">
        <f t="shared" ref="K628:K635" ca="1" si="129">IF(I628&gt;0,J628*100/I628,0)</f>
        <v>72.359481417103183</v>
      </c>
      <c r="L628" s="348"/>
      <c r="M628" s="348"/>
      <c r="N628" s="348"/>
      <c r="O628" s="175"/>
      <c r="P628" s="175"/>
    </row>
    <row r="629" spans="1:16" ht="21.75" customHeight="1" x14ac:dyDescent="0.2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IFERROR(__xludf.DUMMYFUNCTION("IMPORTRANGE(""https://docs.google.com/spreadsheets/d/1IYY_tgx_IHuhSq3AJ5eI5OnqOPBNLWSHKh2a30DoXe8/edit?usp=sharing"",""ยะลา!I524"")"),52)</f>
        <v>52</v>
      </c>
      <c r="J629" s="347">
        <f ca="1">IFERROR(__xludf.DUMMYFUNCTION("IMPORTRANGE(""https://docs.google.com/spreadsheets/d/1IYY_tgx_IHuhSq3AJ5eI5OnqOPBNLWSHKh2a30DoXe8/edit?usp=sharing"",""ยะลา!J524"")"),39)</f>
        <v>39</v>
      </c>
      <c r="K629" s="348">
        <f t="shared" ca="1" si="129"/>
        <v>75</v>
      </c>
      <c r="L629" s="348"/>
      <c r="M629" s="348"/>
      <c r="N629" s="348"/>
      <c r="O629" s="175"/>
      <c r="P629" s="175"/>
    </row>
    <row r="630" spans="1:16" ht="21.75" customHeight="1" x14ac:dyDescent="0.2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IFERROR(__xludf.DUMMYFUNCTION("IMPORTRANGE(""https://docs.google.com/spreadsheets/d/1IYY_tgx_IHuhSq3AJ5eI5OnqOPBNLWSHKh2a30DoXe8/edit?usp=sharing"",""ยะลา!I525"")"),17653.7)</f>
        <v>17653.7</v>
      </c>
      <c r="J630" s="347">
        <f ca="1">IFERROR(__xludf.DUMMYFUNCTION("IMPORTRANGE(""https://docs.google.com/spreadsheets/d/1IYY_tgx_IHuhSq3AJ5eI5OnqOPBNLWSHKh2a30DoXe8/edit?usp=sharing"",""ยะลา!J525"")"),59696.76)</f>
        <v>59696.76</v>
      </c>
      <c r="K630" s="348">
        <f t="shared" ca="1" si="129"/>
        <v>338.15438123452873</v>
      </c>
      <c r="L630" s="348"/>
      <c r="M630" s="348"/>
      <c r="N630" s="348"/>
      <c r="O630" s="175"/>
      <c r="P630" s="175"/>
    </row>
    <row r="631" spans="1:16" ht="21.75" customHeight="1" x14ac:dyDescent="0.2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IFERROR(__xludf.DUMMYFUNCTION("IMPORTRANGE(""https://docs.google.com/spreadsheets/d/1IYY_tgx_IHuhSq3AJ5eI5OnqOPBNLWSHKh2a30DoXe8/edit?usp=sharing"",""ยะลา!I526"")"),1)</f>
        <v>1</v>
      </c>
      <c r="J631" s="347">
        <f ca="1">IFERROR(__xludf.DUMMYFUNCTION("IMPORTRANGE(""https://docs.google.com/spreadsheets/d/1IYY_tgx_IHuhSq3AJ5eI5OnqOPBNLWSHKh2a30DoXe8/edit?usp=sharing"",""ยะลา!J526"")"),6)</f>
        <v>6</v>
      </c>
      <c r="K631" s="348">
        <f t="shared" ca="1" si="129"/>
        <v>600</v>
      </c>
      <c r="L631" s="348"/>
      <c r="M631" s="348"/>
      <c r="N631" s="348"/>
      <c r="O631" s="175"/>
      <c r="P631" s="175"/>
    </row>
    <row r="632" spans="1:16" ht="21.75" customHeight="1" x14ac:dyDescent="0.2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IFERROR(__xludf.DUMMYFUNCTION("IMPORTRANGE(""https://docs.google.com/spreadsheets/d/1IYY_tgx_IHuhSq3AJ5eI5OnqOPBNLWSHKh2a30DoXe8/edit?usp=sharing"",""ยะลา!I527"")"),52342.67)</f>
        <v>52342.67</v>
      </c>
      <c r="J632" s="347">
        <f ca="1">IFERROR(__xludf.DUMMYFUNCTION("IMPORTRANGE(""https://docs.google.com/spreadsheets/d/1IYY_tgx_IHuhSq3AJ5eI5OnqOPBNLWSHKh2a30DoXe8/edit?usp=sharing"",""ยะลา!J527"")"),28993.43)</f>
        <v>28993.43</v>
      </c>
      <c r="K632" s="348">
        <f t="shared" ca="1" si="129"/>
        <v>55.391576318135854</v>
      </c>
      <c r="L632" s="348"/>
      <c r="M632" s="348"/>
      <c r="N632" s="348"/>
      <c r="O632" s="175"/>
      <c r="P632" s="175"/>
    </row>
    <row r="633" spans="1:16" ht="21.75" customHeight="1" x14ac:dyDescent="0.2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IFERROR(__xludf.DUMMYFUNCTION("IMPORTRANGE(""https://docs.google.com/spreadsheets/d/1IYY_tgx_IHuhSq3AJ5eI5OnqOPBNLWSHKh2a30DoXe8/edit?usp=sharing"",""ยะลา!I528"")"),149)</f>
        <v>149</v>
      </c>
      <c r="J633" s="347">
        <f ca="1">IFERROR(__xludf.DUMMYFUNCTION("IMPORTRANGE(""https://docs.google.com/spreadsheets/d/1IYY_tgx_IHuhSq3AJ5eI5OnqOPBNLWSHKh2a30DoXe8/edit?usp=sharing"",""ยะลา!J528"")"),67)</f>
        <v>67</v>
      </c>
      <c r="K633" s="348">
        <f t="shared" ca="1" si="129"/>
        <v>44.966442953020135</v>
      </c>
      <c r="L633" s="348"/>
      <c r="M633" s="348"/>
      <c r="N633" s="348"/>
      <c r="O633" s="175"/>
      <c r="P633" s="175"/>
    </row>
    <row r="634" spans="1:16" ht="21.75" customHeight="1" x14ac:dyDescent="0.2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IFERROR(__xludf.DUMMYFUNCTION("IMPORTRANGE(""https://docs.google.com/spreadsheets/d/1IYY_tgx_IHuhSq3AJ5eI5OnqOPBNLWSHKh2a30DoXe8/edit?usp=sharing"",""ยะลา!I529"")"),510000)</f>
        <v>510000</v>
      </c>
      <c r="J634" s="347">
        <f ca="1">IFERROR(__xludf.DUMMYFUNCTION("IMPORTRANGE(""https://docs.google.com/spreadsheets/d/1IYY_tgx_IHuhSq3AJ5eI5OnqOPBNLWSHKh2a30DoXe8/edit?usp=sharing"",""ยะลา!J529"")"),510000)</f>
        <v>510000</v>
      </c>
      <c r="K634" s="348">
        <f t="shared" ca="1" si="129"/>
        <v>100</v>
      </c>
      <c r="L634" s="348"/>
      <c r="M634" s="348"/>
      <c r="N634" s="348"/>
      <c r="O634" s="175"/>
      <c r="P634" s="175"/>
    </row>
    <row r="635" spans="1:16" ht="21.75" customHeight="1" x14ac:dyDescent="0.25">
      <c r="A635" s="487"/>
      <c r="B635" s="489"/>
      <c r="C635" s="489"/>
      <c r="D635" s="488"/>
      <c r="E635" s="515"/>
      <c r="F635" s="515"/>
      <c r="G635" s="516"/>
      <c r="H635" s="517" t="s">
        <v>37</v>
      </c>
      <c r="I635" s="518">
        <f ca="1">IFERROR(__xludf.DUMMYFUNCTION("IMPORTRANGE(""https://docs.google.com/spreadsheets/d/1IYY_tgx_IHuhSq3AJ5eI5OnqOPBNLWSHKh2a30DoXe8/edit?usp=sharing"",""ยะลา!I530"")"),0)</f>
        <v>0</v>
      </c>
      <c r="J635" s="518">
        <f ca="1">IFERROR(__xludf.DUMMYFUNCTION("IMPORTRANGE(""https://docs.google.com/spreadsheets/d/1IYY_tgx_IHuhSq3AJ5eI5OnqOPBNLWSHKh2a30DoXe8/edit?usp=sharing"",""ยะลา!J530"")"),17)</f>
        <v>17</v>
      </c>
      <c r="K635" s="493">
        <f t="shared" ca="1" si="129"/>
        <v>0</v>
      </c>
      <c r="L635" s="493"/>
      <c r="M635" s="493"/>
      <c r="N635" s="493"/>
      <c r="O635" s="519"/>
      <c r="P635" s="519"/>
    </row>
    <row r="636" spans="1:16" ht="21.75" customHeight="1" x14ac:dyDescent="0.3">
      <c r="A636" s="520"/>
      <c r="B636" s="599" t="s">
        <v>237</v>
      </c>
      <c r="C636" s="600"/>
      <c r="D636" s="600"/>
      <c r="E636" s="600"/>
      <c r="F636" s="600"/>
      <c r="G636" s="600"/>
      <c r="H636" s="521"/>
      <c r="I636" s="521"/>
      <c r="J636" s="521"/>
      <c r="K636" s="522"/>
      <c r="L636" s="523">
        <f ca="1">SUM(L637,L638)</f>
        <v>0</v>
      </c>
      <c r="M636" s="524"/>
      <c r="N636" s="523">
        <f ca="1">SUM(N637:N638)</f>
        <v>0</v>
      </c>
      <c r="O636" s="523">
        <f t="shared" ref="O636:O640" ca="1" si="130">+IF(L636&gt;0,N636*100/L636,0)</f>
        <v>0</v>
      </c>
      <c r="P636" s="523"/>
    </row>
    <row r="637" spans="1:16" ht="21.75" customHeight="1" x14ac:dyDescent="0.3">
      <c r="A637" s="525"/>
      <c r="B637" s="526"/>
      <c r="C637" s="527" t="s">
        <v>16</v>
      </c>
      <c r="D637" s="601" t="s">
        <v>77</v>
      </c>
      <c r="E637" s="575"/>
      <c r="F637" s="575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130"/>
        <v>0</v>
      </c>
      <c r="P637" s="535"/>
    </row>
    <row r="638" spans="1:16" ht="21.75" customHeight="1" x14ac:dyDescent="0.3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0</v>
      </c>
      <c r="M638" s="534"/>
      <c r="N638" s="535">
        <f ca="1">SUM(N639:N640)</f>
        <v>0</v>
      </c>
      <c r="O638" s="535">
        <f t="shared" ca="1" si="130"/>
        <v>0</v>
      </c>
      <c r="P638" s="535"/>
    </row>
    <row r="639" spans="1:16" ht="21.75" customHeight="1" x14ac:dyDescent="0.3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130"/>
        <v>0</v>
      </c>
      <c r="P639" s="535"/>
    </row>
    <row r="640" spans="1:16" ht="21.75" customHeight="1" x14ac:dyDescent="0.3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0</v>
      </c>
      <c r="M640" s="534"/>
      <c r="N640" s="535">
        <f ca="1">SUM(N641:N644)</f>
        <v>0</v>
      </c>
      <c r="O640" s="535">
        <f t="shared" ca="1" si="130"/>
        <v>0</v>
      </c>
      <c r="P640" s="535"/>
    </row>
    <row r="641" spans="1:16" ht="21.75" customHeight="1" x14ac:dyDescent="0.3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3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3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3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0</v>
      </c>
      <c r="O644" s="537"/>
      <c r="P644" s="537"/>
    </row>
    <row r="645" spans="1:16" ht="21.75" customHeight="1" x14ac:dyDescent="0.3">
      <c r="A645" s="539"/>
      <c r="B645" s="540"/>
      <c r="C645" s="527" t="s">
        <v>16</v>
      </c>
      <c r="D645" s="602" t="s">
        <v>242</v>
      </c>
      <c r="E645" s="575"/>
      <c r="F645" s="575"/>
      <c r="G645" s="575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3">
      <c r="A646" s="539"/>
      <c r="B646" s="540"/>
      <c r="C646" s="540"/>
      <c r="D646" s="541">
        <v>1</v>
      </c>
      <c r="E646" s="603" t="s">
        <v>44</v>
      </c>
      <c r="F646" s="575"/>
      <c r="G646" s="575"/>
      <c r="H646" s="536"/>
      <c r="I646" s="542"/>
      <c r="J646" s="543">
        <f ca="1">IFERROR(__xludf.DUMMYFUNCTION("IMPORTRANGE(""https://docs.google.com/spreadsheets/d/1IYY_tgx_IHuhSq3AJ5eI5OnqOPBNLWSHKh2a30DoXe8/edit?usp=sharing"",""ยะลา!J541"")"),0)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3">
      <c r="A647" s="539"/>
      <c r="B647" s="540"/>
      <c r="C647" s="540"/>
      <c r="D647" s="545">
        <v>2</v>
      </c>
      <c r="E647" s="604" t="s">
        <v>243</v>
      </c>
      <c r="F647" s="575"/>
      <c r="G647" s="575"/>
      <c r="H647" s="536"/>
      <c r="I647" s="542"/>
      <c r="J647" s="543">
        <f ca="1">IFERROR(__xludf.DUMMYFUNCTION("IMPORTRANGE(""https://docs.google.com/spreadsheets/d/1IYY_tgx_IHuhSq3AJ5eI5OnqOPBNLWSHKh2a30DoXe8/edit?usp=sharing"",""ยะลา!J542"")"),0)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3">
      <c r="A648" s="525"/>
      <c r="B648" s="526"/>
      <c r="C648" s="526"/>
      <c r="D648" s="526"/>
      <c r="E648" s="526"/>
      <c r="F648" s="598" t="s">
        <v>244</v>
      </c>
      <c r="G648" s="575"/>
      <c r="H648" s="529" t="s">
        <v>122</v>
      </c>
      <c r="I648" s="546">
        <f ca="1">IFERROR(__xludf.DUMMYFUNCTION("IMPORTRANGE(""https://docs.google.com/spreadsheets/d/1IYY_tgx_IHuhSq3AJ5eI5OnqOPBNLWSHKh2a30DoXe8/edit?usp=sharing"",""ยะลา!I543"")"),0)</f>
        <v>0</v>
      </c>
      <c r="J648" s="547">
        <f ca="1">IFERROR(__xludf.DUMMYFUNCTION("IMPORTRANGE(""https://docs.google.com/spreadsheets/d/1IYY_tgx_IHuhSq3AJ5eI5OnqOPBNLWSHKh2a30DoXe8/edit?usp=sharing"",""ยะลา!J543"")"),0)</f>
        <v>0</v>
      </c>
      <c r="K648" s="548">
        <f t="shared" ref="K648:K651" ca="1" si="131">IF(I648&gt;0,J648*100/I648,0)</f>
        <v>0</v>
      </c>
      <c r="L648" s="535">
        <f ca="1">IFERROR(__xludf.DUMMYFUNCTION("IMPORTRANGE(""https://docs.google.com/spreadsheets/d/1IYY_tgx_IHuhSq3AJ5eI5OnqOPBNLWSHKh2a30DoXe8/edit?usp=sharing"",""ยะลา!L543"")"),0)</f>
        <v>0</v>
      </c>
      <c r="M648" s="534"/>
      <c r="N648" s="549">
        <f ca="1">IFERROR(__xludf.DUMMYFUNCTION("IMPORTRANGE(""https://docs.google.com/spreadsheets/d/1IYY_tgx_IHuhSq3AJ5eI5OnqOPBNLWSHKh2a30DoXe8/edit?usp=sharing"",""ยะลา!M543"")"),0)</f>
        <v>0</v>
      </c>
      <c r="O648" s="548">
        <f t="shared" ref="O648:O651" ca="1" si="132">IF(L648&gt;0,N648*100/L648,0)</f>
        <v>0</v>
      </c>
      <c r="P648" s="548"/>
    </row>
    <row r="649" spans="1:16" ht="21.75" customHeight="1" x14ac:dyDescent="0.3">
      <c r="A649" s="525"/>
      <c r="B649" s="526"/>
      <c r="C649" s="526"/>
      <c r="D649" s="526"/>
      <c r="E649" s="526"/>
      <c r="F649" s="598" t="s">
        <v>245</v>
      </c>
      <c r="G649" s="575"/>
      <c r="H649" s="529" t="s">
        <v>37</v>
      </c>
      <c r="I649" s="546">
        <f ca="1">IFERROR(__xludf.DUMMYFUNCTION("IMPORTRANGE(""https://docs.google.com/spreadsheets/d/1IYY_tgx_IHuhSq3AJ5eI5OnqOPBNLWSHKh2a30DoXe8/edit?usp=sharing"",""ยะลา!I544"")"),0)</f>
        <v>0</v>
      </c>
      <c r="J649" s="547">
        <f ca="1">IFERROR(__xludf.DUMMYFUNCTION("IMPORTRANGE(""https://docs.google.com/spreadsheets/d/1IYY_tgx_IHuhSq3AJ5eI5OnqOPBNLWSHKh2a30DoXe8/edit?usp=sharing"",""ยะลา!J544"")"),0)</f>
        <v>0</v>
      </c>
      <c r="K649" s="548">
        <f t="shared" ca="1" si="131"/>
        <v>0</v>
      </c>
      <c r="L649" s="535">
        <f ca="1">IFERROR(__xludf.DUMMYFUNCTION("IMPORTRANGE(""https://docs.google.com/spreadsheets/d/1IYY_tgx_IHuhSq3AJ5eI5OnqOPBNLWSHKh2a30DoXe8/edit?usp=sharing"",""ยะลา!L544"")"),0)</f>
        <v>0</v>
      </c>
      <c r="M649" s="534"/>
      <c r="N649" s="549">
        <f ca="1">IFERROR(__xludf.DUMMYFUNCTION("IMPORTRANGE(""https://docs.google.com/spreadsheets/d/1IYY_tgx_IHuhSq3AJ5eI5OnqOPBNLWSHKh2a30DoXe8/edit?usp=sharing"",""ยะลา!M544"")"),0)</f>
        <v>0</v>
      </c>
      <c r="O649" s="548">
        <f t="shared" ca="1" si="132"/>
        <v>0</v>
      </c>
      <c r="P649" s="548"/>
    </row>
    <row r="650" spans="1:16" ht="21.75" customHeight="1" x14ac:dyDescent="0.3">
      <c r="A650" s="525"/>
      <c r="B650" s="526"/>
      <c r="C650" s="526"/>
      <c r="D650" s="526"/>
      <c r="E650" s="526"/>
      <c r="F650" s="598" t="s">
        <v>246</v>
      </c>
      <c r="G650" s="575"/>
      <c r="H650" s="529" t="s">
        <v>122</v>
      </c>
      <c r="I650" s="546">
        <f ca="1">IFERROR(__xludf.DUMMYFUNCTION("IMPORTRANGE(""https://docs.google.com/spreadsheets/d/1IYY_tgx_IHuhSq3AJ5eI5OnqOPBNLWSHKh2a30DoXe8/edit?usp=sharing"",""ยะลา!I545"")"),0)</f>
        <v>0</v>
      </c>
      <c r="J650" s="547">
        <f ca="1">IFERROR(__xludf.DUMMYFUNCTION("IMPORTRANGE(""https://docs.google.com/spreadsheets/d/1IYY_tgx_IHuhSq3AJ5eI5OnqOPBNLWSHKh2a30DoXe8/edit?usp=sharing"",""ยะลา!J545"")"),0)</f>
        <v>0</v>
      </c>
      <c r="K650" s="548">
        <f t="shared" ca="1" si="131"/>
        <v>0</v>
      </c>
      <c r="L650" s="535">
        <f ca="1">IFERROR(__xludf.DUMMYFUNCTION("IMPORTRANGE(""https://docs.google.com/spreadsheets/d/1IYY_tgx_IHuhSq3AJ5eI5OnqOPBNLWSHKh2a30DoXe8/edit?usp=sharing"",""ยะลา!L545"")"),0)</f>
        <v>0</v>
      </c>
      <c r="M650" s="534"/>
      <c r="N650" s="549">
        <f ca="1">IFERROR(__xludf.DUMMYFUNCTION("IMPORTRANGE(""https://docs.google.com/spreadsheets/d/1IYY_tgx_IHuhSq3AJ5eI5OnqOPBNLWSHKh2a30DoXe8/edit?usp=sharing"",""ยะลา!M545"")"),0)</f>
        <v>0</v>
      </c>
      <c r="O650" s="548">
        <f t="shared" ca="1" si="132"/>
        <v>0</v>
      </c>
      <c r="P650" s="548"/>
    </row>
    <row r="651" spans="1:16" ht="21.75" customHeight="1" x14ac:dyDescent="0.3">
      <c r="A651" s="525"/>
      <c r="B651" s="526"/>
      <c r="C651" s="526"/>
      <c r="D651" s="526"/>
      <c r="E651" s="526"/>
      <c r="F651" s="598" t="s">
        <v>247</v>
      </c>
      <c r="G651" s="575"/>
      <c r="H651" s="529" t="s">
        <v>122</v>
      </c>
      <c r="I651" s="546">
        <f ca="1">IFERROR(__xludf.DUMMYFUNCTION("IMPORTRANGE(""https://docs.google.com/spreadsheets/d/1IYY_tgx_IHuhSq3AJ5eI5OnqOPBNLWSHKh2a30DoXe8/edit?usp=sharing"",""ยะลา!I546"")"),0)</f>
        <v>0</v>
      </c>
      <c r="J651" s="547">
        <f ca="1">J657+J660</f>
        <v>0</v>
      </c>
      <c r="K651" s="548">
        <f t="shared" ca="1" si="131"/>
        <v>0</v>
      </c>
      <c r="L651" s="535">
        <f ca="1">IFERROR(__xludf.DUMMYFUNCTION("IMPORTRANGE(""https://docs.google.com/spreadsheets/d/1IYY_tgx_IHuhSq3AJ5eI5OnqOPBNLWSHKh2a30DoXe8/edit?usp=sharing"",""ยะลา!L546"")"),0)</f>
        <v>0</v>
      </c>
      <c r="M651" s="534"/>
      <c r="N651" s="549">
        <f ca="1">IFERROR(__xludf.DUMMYFUNCTION("IMPORTRANGE(""https://docs.google.com/spreadsheets/d/1IYY_tgx_IHuhSq3AJ5eI5OnqOPBNLWSHKh2a30DoXe8/edit?usp=sharing"",""ยะลา!M546"")"),0)</f>
        <v>0</v>
      </c>
      <c r="O651" s="548">
        <f t="shared" ca="1" si="132"/>
        <v>0</v>
      </c>
      <c r="P651" s="548"/>
    </row>
    <row r="652" spans="1:16" ht="21.75" customHeight="1" x14ac:dyDescent="0.3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IFERROR(__xludf.DUMMYFUNCTION("IMPORTRANGE(""https://docs.google.com/spreadsheets/d/1IYY_tgx_IHuhSq3AJ5eI5OnqOPBNLWSHKh2a30DoXe8/edit?usp=sharing"",""ยะลา!J547"")"),0)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3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IFERROR(__xludf.DUMMYFUNCTION("IMPORTRANGE(""https://docs.google.com/spreadsheets/d/1IYY_tgx_IHuhSq3AJ5eI5OnqOPBNLWSHKh2a30DoXe8/edit?usp=sharing"",""ยะลา!J548"")"),0)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3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3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IFERROR(__xludf.DUMMYFUNCTION("IMPORTRANGE(""https://docs.google.com/spreadsheets/d/1IYY_tgx_IHuhSq3AJ5eI5OnqOPBNLWSHKh2a30DoXe8/edit?usp=sharing"",""ยะลา!J550"")"),0)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3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IFERROR(__xludf.DUMMYFUNCTION("IMPORTRANGE(""https://docs.google.com/spreadsheets/d/1IYY_tgx_IHuhSq3AJ5eI5OnqOPBNLWSHKh2a30DoXe8/edit?usp=sharing"",""ยะลา!J551"")"),0)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3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IFERROR(__xludf.DUMMYFUNCTION("IMPORTRANGE(""https://docs.google.com/spreadsheets/d/1IYY_tgx_IHuhSq3AJ5eI5OnqOPBNLWSHKh2a30DoXe8/edit?usp=sharing"",""ยะลา!J552"")"),0)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3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IFERROR(__xludf.DUMMYFUNCTION("IMPORTRANGE(""https://docs.google.com/spreadsheets/d/1IYY_tgx_IHuhSq3AJ5eI5OnqOPBNLWSHKh2a30DoXe8/edit?usp=sharing"",""ยะลา!J553"")"),0)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3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IFERROR(__xludf.DUMMYFUNCTION("IMPORTRANGE(""https://docs.google.com/spreadsheets/d/1IYY_tgx_IHuhSq3AJ5eI5OnqOPBNLWSHKh2a30DoXe8/edit?usp=sharing"",""ยะลา!J554"")"),0)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3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IFERROR(__xludf.DUMMYFUNCTION("IMPORTRANGE(""https://docs.google.com/spreadsheets/d/1IYY_tgx_IHuhSq3AJ5eI5OnqOPBNLWSHKh2a30DoXe8/edit?usp=sharing"",""ยะลา!J555"")"),0)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3">
      <c r="A661" s="525"/>
      <c r="B661" s="526"/>
      <c r="C661" s="526"/>
      <c r="D661" s="526"/>
      <c r="E661" s="526"/>
      <c r="F661" s="598" t="s">
        <v>252</v>
      </c>
      <c r="G661" s="575"/>
      <c r="H661" s="529" t="s">
        <v>37</v>
      </c>
      <c r="I661" s="550"/>
      <c r="J661" s="547">
        <f ca="1">IFERROR(__xludf.DUMMYFUNCTION("IMPORTRANGE(""https://docs.google.com/spreadsheets/d/1IYY_tgx_IHuhSq3AJ5eI5OnqOPBNLWSHKh2a30DoXe8/edit?usp=sharing"",""ยะลา!J556"")"),0)</f>
        <v>0</v>
      </c>
      <c r="K661" s="548"/>
      <c r="L661" s="535">
        <f ca="1">IFERROR(__xludf.DUMMYFUNCTION("IMPORTRANGE(""https://docs.google.com/spreadsheets/d/1IYY_tgx_IHuhSq3AJ5eI5OnqOPBNLWSHKh2a30DoXe8/edit?usp=sharing"",""ยะลา!L556"")"),0)</f>
        <v>0</v>
      </c>
      <c r="M661" s="534"/>
      <c r="N661" s="549">
        <f ca="1">IFERROR(__xludf.DUMMYFUNCTION("IMPORTRANGE(""https://docs.google.com/spreadsheets/d/1IYY_tgx_IHuhSq3AJ5eI5OnqOPBNLWSHKh2a30DoXe8/edit?usp=sharing"",""ยะลา!M556"")"),0)</f>
        <v>0</v>
      </c>
      <c r="O661" s="548">
        <f ca="1">IF(L661&gt;0,N661*100/L661,0)</f>
        <v>0</v>
      </c>
      <c r="P661" s="548"/>
    </row>
    <row r="662" spans="1:16" ht="21.75" customHeight="1" x14ac:dyDescent="0.3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IFERROR(__xludf.DUMMYFUNCTION("IMPORTRANGE(""https://docs.google.com/spreadsheets/d/1IYY_tgx_IHuhSq3AJ5eI5OnqOPBNLWSHKh2a30DoXe8/edit?usp=sharing"",""ยะลา!J557"")"),0)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3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IFERROR(__xludf.DUMMYFUNCTION("IMPORTRANGE(""https://docs.google.com/spreadsheets/d/1IYY_tgx_IHuhSq3AJ5eI5OnqOPBNLWSHKh2a30DoXe8/edit?usp=sharing"",""ยะลา!I558"")"),0)</f>
        <v>0</v>
      </c>
      <c r="J663" s="547">
        <f ca="1">IFERROR(__xludf.DUMMYFUNCTION("IMPORTRANGE(""https://docs.google.com/spreadsheets/d/1IYY_tgx_IHuhSq3AJ5eI5OnqOPBNLWSHKh2a30DoXe8/edit?usp=sharing"",""ยะลา!J558"")"),0)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3">
      <c r="A664" s="525"/>
      <c r="B664" s="526"/>
      <c r="C664" s="526"/>
      <c r="D664" s="526"/>
      <c r="E664" s="526"/>
      <c r="F664" s="598" t="s">
        <v>253</v>
      </c>
      <c r="G664" s="575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3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IFERROR(__xludf.DUMMYFUNCTION("IMPORTRANGE(""https://docs.google.com/spreadsheets/d/1IYY_tgx_IHuhSq3AJ5eI5OnqOPBNLWSHKh2a30DoXe8/edit?usp=sharing"",""ยะลา!I560"")"),0)</f>
        <v>0</v>
      </c>
      <c r="J665" s="547">
        <f ca="1">IFERROR(__xludf.DUMMYFUNCTION("IMPORTRANGE(""https://docs.google.com/spreadsheets/d/1IYY_tgx_IHuhSq3AJ5eI5OnqOPBNLWSHKh2a30DoXe8/edit?usp=sharing"",""ยะลา!J560"")"),0)</f>
        <v>0</v>
      </c>
      <c r="K665" s="548">
        <f ca="1">IF(I665&gt;0,J665*100/I665,0)</f>
        <v>0</v>
      </c>
      <c r="L665" s="535">
        <f ca="1">IFERROR(__xludf.DUMMYFUNCTION("IMPORTRANGE(""https://docs.google.com/spreadsheets/d/1IYY_tgx_IHuhSq3AJ5eI5OnqOPBNLWSHKh2a30DoXe8/edit?usp=sharing"",""ยะลา!L560"")"),0)</f>
        <v>0</v>
      </c>
      <c r="M665" s="534"/>
      <c r="N665" s="549">
        <f ca="1">IFERROR(__xludf.DUMMYFUNCTION("IMPORTRANGE(""https://docs.google.com/spreadsheets/d/1IYY_tgx_IHuhSq3AJ5eI5OnqOPBNLWSHKh2a30DoXe8/edit?usp=sharing"",""ยะลา!M560"")"),0)</f>
        <v>0</v>
      </c>
      <c r="O665" s="548">
        <f ca="1">IF(L665&gt;0,N665*100/L665,0)</f>
        <v>0</v>
      </c>
      <c r="P665" s="548"/>
    </row>
    <row r="666" spans="1:16" ht="21.75" customHeight="1" x14ac:dyDescent="0.3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IFERROR(__xludf.DUMMYFUNCTION("IMPORTRANGE(""https://docs.google.com/spreadsheets/d/1IYY_tgx_IHuhSq3AJ5eI5OnqOPBNLWSHKh2a30DoXe8/edit?usp=sharing"",""ยะลา!J561"")"),0)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3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IFERROR(__xludf.DUMMYFUNCTION("IMPORTRANGE(""https://docs.google.com/spreadsheets/d/1IYY_tgx_IHuhSq3AJ5eI5OnqOPBNLWSHKh2a30DoXe8/edit?usp=sharing"",""ยะลา!J562"")"),0)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3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IFERROR(__xludf.DUMMYFUNCTION("IMPORTRANGE(""https://docs.google.com/spreadsheets/d/1IYY_tgx_IHuhSq3AJ5eI5OnqOPBNLWSHKh2a30DoXe8/edit?usp=sharing"",""ยะลา!I563"")"),0)</f>
        <v>0</v>
      </c>
      <c r="J668" s="547">
        <f ca="1">IFERROR(__xludf.DUMMYFUNCTION("IMPORTRANGE(""https://docs.google.com/spreadsheets/d/1IYY_tgx_IHuhSq3AJ5eI5OnqOPBNLWSHKh2a30DoXe8/edit?usp=sharing"",""ยะลา!J563"")"),0)</f>
        <v>0</v>
      </c>
      <c r="K668" s="548">
        <f ca="1">IF(I668&gt;0,J668*100/I668,0)</f>
        <v>0</v>
      </c>
      <c r="L668" s="535">
        <f ca="1">IFERROR(__xludf.DUMMYFUNCTION("IMPORTRANGE(""https://docs.google.com/spreadsheets/d/1IYY_tgx_IHuhSq3AJ5eI5OnqOPBNLWSHKh2a30DoXe8/edit?usp=sharing"",""ยะลา!L563"")"),0)</f>
        <v>0</v>
      </c>
      <c r="M668" s="534"/>
      <c r="N668" s="549">
        <f ca="1">IFERROR(__xludf.DUMMYFUNCTION("IMPORTRANGE(""https://docs.google.com/spreadsheets/d/1IYY_tgx_IHuhSq3AJ5eI5OnqOPBNLWSHKh2a30DoXe8/edit?usp=sharing"",""ยะลา!M563"")"),0)</f>
        <v>0</v>
      </c>
      <c r="O668" s="548">
        <f ca="1">IF(L668&gt;0,N668*100/L668,0)</f>
        <v>0</v>
      </c>
      <c r="P668" s="548"/>
    </row>
    <row r="669" spans="1:16" ht="21.75" customHeight="1" x14ac:dyDescent="0.3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IFERROR(__xludf.DUMMYFUNCTION("IMPORTRANGE(""https://docs.google.com/spreadsheets/d/1IYY_tgx_IHuhSq3AJ5eI5OnqOPBNLWSHKh2a30DoXe8/edit?usp=sharing"",""ยะลา!J564"")"),0)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3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IFERROR(__xludf.DUMMYFUNCTION("IMPORTRANGE(""https://docs.google.com/spreadsheets/d/1IYY_tgx_IHuhSq3AJ5eI5OnqOPBNLWSHKh2a30DoXe8/edit?usp=sharing"",""ยะลา!J565"")"),0)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3">
      <c r="A671" s="525"/>
      <c r="B671" s="526"/>
      <c r="C671" s="526"/>
      <c r="D671" s="526"/>
      <c r="E671" s="526"/>
      <c r="F671" s="598" t="s">
        <v>256</v>
      </c>
      <c r="G671" s="575"/>
      <c r="H671" s="529" t="s">
        <v>122</v>
      </c>
      <c r="I671" s="546">
        <f ca="1">IFERROR(__xludf.DUMMYFUNCTION("IMPORTRANGE(""https://docs.google.com/spreadsheets/d/1IYY_tgx_IHuhSq3AJ5eI5OnqOPBNLWSHKh2a30DoXe8/edit?usp=sharing"",""ยะลา!I566"")"),0)</f>
        <v>0</v>
      </c>
      <c r="J671" s="547">
        <f ca="1">J674+J677</f>
        <v>0</v>
      </c>
      <c r="K671" s="548">
        <f ca="1">IF(I671&gt;0,J671*100/I671,0)</f>
        <v>0</v>
      </c>
      <c r="L671" s="535">
        <f ca="1">IFERROR(__xludf.DUMMYFUNCTION("IMPORTRANGE(""https://docs.google.com/spreadsheets/d/1IYY_tgx_IHuhSq3AJ5eI5OnqOPBNLWSHKh2a30DoXe8/edit?usp=sharing"",""ยะลา!L566"")"),0)</f>
        <v>0</v>
      </c>
      <c r="M671" s="534"/>
      <c r="N671" s="549">
        <f ca="1">IFERROR(__xludf.DUMMYFUNCTION("IMPORTRANGE(""https://docs.google.com/spreadsheets/d/1IYY_tgx_IHuhSq3AJ5eI5OnqOPBNLWSHKh2a30DoXe8/edit?usp=sharing"",""ยะลา!M566"")"),0)</f>
        <v>0</v>
      </c>
      <c r="O671" s="548">
        <f ca="1">IF(L671&gt;0,N671*100/L671,0)</f>
        <v>0</v>
      </c>
      <c r="P671" s="548"/>
    </row>
    <row r="672" spans="1:16" ht="21.75" customHeight="1" x14ac:dyDescent="0.3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IFERROR(__xludf.DUMMYFUNCTION("IMPORTRANGE(""https://docs.google.com/spreadsheets/d/1IYY_tgx_IHuhSq3AJ5eI5OnqOPBNLWSHKh2a30DoXe8/edit?usp=sharing"",""ยะลา!J567"")"),0)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3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IFERROR(__xludf.DUMMYFUNCTION("IMPORTRANGE(""https://docs.google.com/spreadsheets/d/1IYY_tgx_IHuhSq3AJ5eI5OnqOPBNLWSHKh2a30DoXe8/edit?usp=sharing"",""ยะลา!J568"")"),0)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3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IFERROR(__xludf.DUMMYFUNCTION("IMPORTRANGE(""https://docs.google.com/spreadsheets/d/1IYY_tgx_IHuhSq3AJ5eI5OnqOPBNLWSHKh2a30DoXe8/edit?usp=sharing"",""ยะลา!J569"")"),0)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3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IFERROR(__xludf.DUMMYFUNCTION("IMPORTRANGE(""https://docs.google.com/spreadsheets/d/1IYY_tgx_IHuhSq3AJ5eI5OnqOPBNLWSHKh2a30DoXe8/edit?usp=sharing"",""ยะลา!J570"")"),0)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3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IFERROR(__xludf.DUMMYFUNCTION("IMPORTRANGE(""https://docs.google.com/spreadsheets/d/1IYY_tgx_IHuhSq3AJ5eI5OnqOPBNLWSHKh2a30DoXe8/edit?usp=sharing"",""ยะลา!J571"")"),0)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3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IFERROR(__xludf.DUMMYFUNCTION("IMPORTRANGE(""https://docs.google.com/spreadsheets/d/1IYY_tgx_IHuhSq3AJ5eI5OnqOPBNLWSHKh2a30DoXe8/edit?usp=sharing"",""ยะลา!J572"")"),0)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2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2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2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2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2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2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2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2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2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2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2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2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2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2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2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2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2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2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2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2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2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2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2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2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2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2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2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2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2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2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2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2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2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2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2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2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2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2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2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2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2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2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2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2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2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2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2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2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2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2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2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2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2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2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2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2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2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2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2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2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2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2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2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2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2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2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2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2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2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2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2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2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2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2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2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2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2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2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2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2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2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2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2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2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2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2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2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2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2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2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2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2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2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2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2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2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2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2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2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2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2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2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2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2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2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2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2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2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2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2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2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2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2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2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2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2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2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2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2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2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2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2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2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2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2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2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2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2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2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2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2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2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2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2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2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2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2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2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2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2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2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2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2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2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2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2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2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2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2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2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2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2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2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2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2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2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2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2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2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2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2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2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2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2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2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2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2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2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2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2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2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2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2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2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2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2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2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2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2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2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2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2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2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2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2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2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2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2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2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2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2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2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2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2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2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2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2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2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2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2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2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2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2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2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2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2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2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2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2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2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2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2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2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2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2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2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2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2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2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2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2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2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2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2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2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2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2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2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2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2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2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2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2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2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2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2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2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2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2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2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2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2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2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2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2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2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2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2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2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2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2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2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2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2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2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2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2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2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2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2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2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2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2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2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2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2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2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2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2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2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2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2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2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2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2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2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2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2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2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2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2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2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2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2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2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2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2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2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2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2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2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2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2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2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2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2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2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2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2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2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2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2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2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2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2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2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2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2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2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2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2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2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2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2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2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2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2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2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2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2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2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2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2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2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2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2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2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2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2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2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2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2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2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2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2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2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2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2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2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2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2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2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2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2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2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2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2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2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2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2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2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2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2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2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2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2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2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2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2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2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2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2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2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2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2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2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2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2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2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2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2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2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2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2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2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2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2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2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2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2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2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2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2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2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2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2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2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2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2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2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2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2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2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2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2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2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2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2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2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2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2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2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2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2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2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2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2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2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2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2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2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2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2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2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2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2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2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2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2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2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2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2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2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2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2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2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2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2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2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2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2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2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2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2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2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2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2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2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2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2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2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2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2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2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2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2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2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2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2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2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2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2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2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2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2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2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2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2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2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2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2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2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2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2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2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2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19685039370078741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32" max="16383" man="1"/>
    <brk id="626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86" t="s">
        <v>0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  <c r="N1" s="586"/>
      <c r="O1" s="586"/>
      <c r="P1" s="586"/>
    </row>
    <row r="2" spans="1:16" ht="18" customHeight="1" x14ac:dyDescent="0.25">
      <c r="A2" s="586" t="s">
        <v>282</v>
      </c>
      <c r="B2" s="586"/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86"/>
      <c r="P2" s="586"/>
    </row>
    <row r="3" spans="1:16" ht="18" customHeight="1" x14ac:dyDescent="0.25">
      <c r="A3" s="586" t="s">
        <v>290</v>
      </c>
      <c r="B3" s="586"/>
      <c r="C3" s="586"/>
      <c r="D3" s="586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  <c r="P3" s="586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2" t="s">
        <v>2</v>
      </c>
      <c r="B5" s="593"/>
      <c r="C5" s="593"/>
      <c r="D5" s="593"/>
      <c r="E5" s="593"/>
      <c r="F5" s="593"/>
      <c r="G5" s="594"/>
      <c r="H5" s="587" t="s">
        <v>3</v>
      </c>
      <c r="I5" s="589" t="s">
        <v>4</v>
      </c>
      <c r="J5" s="580"/>
      <c r="K5" s="581"/>
      <c r="L5" s="590" t="s">
        <v>5</v>
      </c>
      <c r="M5" s="581"/>
      <c r="N5" s="591" t="s">
        <v>6</v>
      </c>
      <c r="O5" s="580"/>
      <c r="P5" s="581"/>
    </row>
    <row r="6" spans="1:16" ht="21.75" customHeight="1" x14ac:dyDescent="0.25">
      <c r="A6" s="595"/>
      <c r="B6" s="596"/>
      <c r="C6" s="596"/>
      <c r="D6" s="596"/>
      <c r="E6" s="596"/>
      <c r="F6" s="596"/>
      <c r="G6" s="597"/>
      <c r="H6" s="58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5" t="s">
        <v>15</v>
      </c>
      <c r="B7" s="580"/>
      <c r="C7" s="580"/>
      <c r="D7" s="580"/>
      <c r="E7" s="580"/>
      <c r="F7" s="580"/>
      <c r="G7" s="58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4" t="s">
        <v>17</v>
      </c>
      <c r="E8" s="573"/>
      <c r="F8" s="573"/>
      <c r="G8" s="573"/>
      <c r="H8" s="20" t="s">
        <v>12</v>
      </c>
      <c r="I8" s="21"/>
      <c r="J8" s="21"/>
      <c r="K8" s="22"/>
      <c r="L8" s="23">
        <f t="shared" ref="L8:N8" ca="1" si="0">L9+L10</f>
        <v>4432804</v>
      </c>
      <c r="M8" s="23">
        <f t="shared" ca="1" si="0"/>
        <v>2892827</v>
      </c>
      <c r="N8" s="23">
        <f t="shared" ca="1" si="0"/>
        <v>3645353.02</v>
      </c>
      <c r="O8" s="22">
        <f t="shared" ref="O8:O16" ca="1" si="1">IF(L8&gt;0,N8*100/L8,0)</f>
        <v>82.235826803982306</v>
      </c>
      <c r="P8" s="22">
        <f t="shared" ref="P8:P16" ca="1" si="2">IF(M8&gt;0,N8*100/M8,0)</f>
        <v>126.01351619021808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4432804</v>
      </c>
      <c r="M10" s="30">
        <f t="shared" ca="1" si="4"/>
        <v>2892827</v>
      </c>
      <c r="N10" s="30">
        <f t="shared" ca="1" si="4"/>
        <v>3645353.02</v>
      </c>
      <c r="O10" s="29">
        <f t="shared" ca="1" si="1"/>
        <v>82.235826803982306</v>
      </c>
      <c r="P10" s="29">
        <f t="shared" ca="1" si="2"/>
        <v>126.01351619021808</v>
      </c>
    </row>
    <row r="11" spans="1:16" ht="21.75" customHeight="1" x14ac:dyDescent="0.3">
      <c r="A11" s="31"/>
      <c r="B11" s="32"/>
      <c r="C11" s="33" t="s">
        <v>16</v>
      </c>
      <c r="D11" s="574" t="s">
        <v>20</v>
      </c>
      <c r="E11" s="575"/>
      <c r="F11" s="57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3717404</v>
      </c>
      <c r="M12" s="38">
        <f t="shared" ca="1" si="6"/>
        <v>2177427</v>
      </c>
      <c r="N12" s="38">
        <f t="shared" ca="1" si="6"/>
        <v>2931953.02</v>
      </c>
      <c r="O12" s="38">
        <f t="shared" ca="1" si="1"/>
        <v>78.870981469864461</v>
      </c>
      <c r="P12" s="38">
        <f t="shared" ca="1" si="2"/>
        <v>134.65218443603391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1706682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2010722</v>
      </c>
      <c r="M14" s="38">
        <f t="shared" si="8"/>
        <v>0</v>
      </c>
      <c r="N14" s="38">
        <f t="shared" ca="1" si="8"/>
        <v>994354</v>
      </c>
      <c r="O14" s="41">
        <f t="shared" ca="1" si="1"/>
        <v>49.45258469345837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4" t="s">
        <v>23</v>
      </c>
      <c r="E15" s="57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715400</v>
      </c>
      <c r="M16" s="38">
        <f t="shared" ca="1" si="10"/>
        <v>715400</v>
      </c>
      <c r="N16" s="38">
        <f t="shared" ca="1" si="10"/>
        <v>713400</v>
      </c>
      <c r="O16" s="50">
        <f t="shared" ca="1" si="1"/>
        <v>99.720436119653343</v>
      </c>
      <c r="P16" s="50">
        <f t="shared" ca="1" si="2"/>
        <v>99.720436119653343</v>
      </c>
    </row>
    <row r="17" spans="1:16" ht="21.75" customHeight="1" x14ac:dyDescent="0.3">
      <c r="A17" s="585" t="s">
        <v>24</v>
      </c>
      <c r="B17" s="580"/>
      <c r="C17" s="580"/>
      <c r="D17" s="580"/>
      <c r="E17" s="580"/>
      <c r="F17" s="580"/>
      <c r="G17" s="58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4" t="s">
        <v>17</v>
      </c>
      <c r="E18" s="573"/>
      <c r="F18" s="573"/>
      <c r="G18" s="573"/>
      <c r="H18" s="20" t="s">
        <v>12</v>
      </c>
      <c r="I18" s="21"/>
      <c r="J18" s="21"/>
      <c r="K18" s="22"/>
      <c r="L18" s="23">
        <f t="shared" ref="L18:N18" ca="1" si="11">L19+L20</f>
        <v>2867427</v>
      </c>
      <c r="M18" s="23">
        <f t="shared" ca="1" si="11"/>
        <v>2892827</v>
      </c>
      <c r="N18" s="23">
        <f t="shared" ca="1" si="11"/>
        <v>2650999.02</v>
      </c>
      <c r="O18" s="22">
        <f t="shared" ref="O18:O20" ca="1" si="12">IF(L18&gt;0,N18*100/L18,0)</f>
        <v>92.452188669493594</v>
      </c>
      <c r="P18" s="22">
        <f t="shared" ref="P18:P26" ca="1" si="13">IF(M18&gt;0,N18*100/M18,0)</f>
        <v>91.640427166920105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2867427</v>
      </c>
      <c r="M20" s="30">
        <f t="shared" ca="1" si="15"/>
        <v>2892827</v>
      </c>
      <c r="N20" s="30">
        <f t="shared" ca="1" si="15"/>
        <v>2650999.02</v>
      </c>
      <c r="O20" s="29">
        <f t="shared" ca="1" si="12"/>
        <v>92.452188669493594</v>
      </c>
      <c r="P20" s="29">
        <f t="shared" ca="1" si="13"/>
        <v>91.640427166920105</v>
      </c>
    </row>
    <row r="21" spans="1:16" ht="21.75" customHeight="1" x14ac:dyDescent="0.3">
      <c r="A21" s="31"/>
      <c r="B21" s="32"/>
      <c r="C21" s="33" t="s">
        <v>16</v>
      </c>
      <c r="D21" s="574" t="s">
        <v>20</v>
      </c>
      <c r="E21" s="575"/>
      <c r="F21" s="575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2152027</v>
      </c>
      <c r="M22" s="42">
        <f t="shared" ca="1" si="18"/>
        <v>2177427</v>
      </c>
      <c r="N22" s="41">
        <f t="shared" ca="1" si="18"/>
        <v>1937599.02</v>
      </c>
      <c r="O22" s="41">
        <f t="shared" ca="1" si="17"/>
        <v>90.035999548332811</v>
      </c>
      <c r="P22" s="41">
        <f t="shared" ca="1" si="13"/>
        <v>88.985716627928284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1706682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445345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4" t="s">
        <v>23</v>
      </c>
      <c r="E25" s="575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715400</v>
      </c>
      <c r="M26" s="50">
        <f t="shared" ca="1" si="22"/>
        <v>715400</v>
      </c>
      <c r="N26" s="50">
        <f t="shared" ca="1" si="22"/>
        <v>713400</v>
      </c>
      <c r="O26" s="50">
        <f t="shared" ca="1" si="17"/>
        <v>99.720436119653343</v>
      </c>
      <c r="P26" s="50">
        <f t="shared" ca="1" si="13"/>
        <v>99.720436119653343</v>
      </c>
    </row>
    <row r="27" spans="1:16" ht="21.75" customHeight="1" x14ac:dyDescent="0.3">
      <c r="A27" s="585" t="s">
        <v>25</v>
      </c>
      <c r="B27" s="580"/>
      <c r="C27" s="580"/>
      <c r="D27" s="580"/>
      <c r="E27" s="580"/>
      <c r="F27" s="580"/>
      <c r="G27" s="58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4" t="s">
        <v>17</v>
      </c>
      <c r="E28" s="573"/>
      <c r="F28" s="573"/>
      <c r="G28" s="573"/>
      <c r="H28" s="20" t="s">
        <v>12</v>
      </c>
      <c r="I28" s="21"/>
      <c r="J28" s="21"/>
      <c r="K28" s="22"/>
      <c r="L28" s="23">
        <f t="shared" ref="L28:N28" ca="1" si="23">L29+L30</f>
        <v>1565377</v>
      </c>
      <c r="M28" s="23">
        <f t="shared" si="23"/>
        <v>0</v>
      </c>
      <c r="N28" s="23">
        <f t="shared" ca="1" si="23"/>
        <v>994354</v>
      </c>
      <c r="O28" s="22">
        <f t="shared" ref="O28:O30" ca="1" si="24">IF(L28&gt;0,N28*100/L28,0)</f>
        <v>63.521694773846811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1565377</v>
      </c>
      <c r="M30" s="30">
        <f t="shared" si="27"/>
        <v>0</v>
      </c>
      <c r="N30" s="30">
        <f t="shared" ca="1" si="27"/>
        <v>994354</v>
      </c>
      <c r="O30" s="29">
        <f t="shared" ca="1" si="24"/>
        <v>63.521694773846811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4" t="s">
        <v>20</v>
      </c>
      <c r="E31" s="575"/>
      <c r="F31" s="575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1565377</v>
      </c>
      <c r="M32" s="41">
        <f t="shared" si="30"/>
        <v>0</v>
      </c>
      <c r="N32" s="41">
        <f t="shared" ca="1" si="30"/>
        <v>994354</v>
      </c>
      <c r="O32" s="41">
        <f t="shared" ca="1" si="29"/>
        <v>63.521694773846811</v>
      </c>
      <c r="P32" s="41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1565377</v>
      </c>
      <c r="M34" s="41">
        <f t="shared" si="32"/>
        <v>0</v>
      </c>
      <c r="N34" s="41">
        <f t="shared" ca="1" si="32"/>
        <v>994354</v>
      </c>
      <c r="O34" s="41">
        <f t="shared" ca="1" si="29"/>
        <v>63.521694773846811</v>
      </c>
      <c r="P34" s="41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4" t="s">
        <v>23</v>
      </c>
      <c r="E35" s="575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2867427</v>
      </c>
      <c r="M37" s="55">
        <f t="shared" ca="1" si="33"/>
        <v>2892827</v>
      </c>
      <c r="N37" s="55">
        <f t="shared" ca="1" si="33"/>
        <v>2650999.02</v>
      </c>
      <c r="O37" s="56">
        <f t="shared" ca="1" si="29"/>
        <v>92.452188669493594</v>
      </c>
      <c r="P37" s="56">
        <f t="shared" ca="1" si="25"/>
        <v>91.640427166920105</v>
      </c>
    </row>
    <row r="38" spans="1:16" ht="21.75" customHeight="1" x14ac:dyDescent="0.3">
      <c r="A38" s="579" t="s">
        <v>27</v>
      </c>
      <c r="B38" s="580"/>
      <c r="C38" s="580"/>
      <c r="D38" s="580"/>
      <c r="E38" s="580"/>
      <c r="F38" s="580"/>
      <c r="G38" s="581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82" t="s">
        <v>28</v>
      </c>
      <c r="C39" s="573"/>
      <c r="D39" s="573"/>
      <c r="E39" s="573"/>
      <c r="F39" s="573"/>
      <c r="G39" s="573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83" t="s">
        <v>17</v>
      </c>
      <c r="E41" s="575"/>
      <c r="F41" s="575"/>
      <c r="G41" s="575"/>
      <c r="H41" s="76" t="s">
        <v>12</v>
      </c>
      <c r="I41" s="77"/>
      <c r="J41" s="77"/>
      <c r="K41" s="78"/>
      <c r="L41" s="79">
        <f t="shared" ref="L41:N41" ca="1" si="34">L42+L43</f>
        <v>1321000</v>
      </c>
      <c r="M41" s="79">
        <f t="shared" ca="1" si="34"/>
        <v>1321000</v>
      </c>
      <c r="N41" s="79">
        <f t="shared" ca="1" si="34"/>
        <v>1280816.01</v>
      </c>
      <c r="O41" s="78">
        <f t="shared" ref="O41:O43" ca="1" si="35">IF(L41&gt;0,N41*100/L41,0)</f>
        <v>96.958062831188499</v>
      </c>
      <c r="P41" s="78">
        <f t="shared" ref="P41:P43" ca="1" si="36">IF(M41&gt;0,N41*100/M41,0)</f>
        <v>96.958062831188499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1321000</v>
      </c>
      <c r="M43" s="79">
        <f t="shared" ca="1" si="38"/>
        <v>1321000</v>
      </c>
      <c r="N43" s="79">
        <f t="shared" ca="1" si="38"/>
        <v>1280816.01</v>
      </c>
      <c r="O43" s="78">
        <f t="shared" ca="1" si="35"/>
        <v>96.958062831188499</v>
      </c>
      <c r="P43" s="78">
        <f t="shared" ca="1" si="36"/>
        <v>96.958062831188499</v>
      </c>
    </row>
    <row r="44" spans="1:16" ht="21.75" customHeight="1" x14ac:dyDescent="0.3">
      <c r="A44" s="80"/>
      <c r="B44" s="81"/>
      <c r="C44" s="82" t="s">
        <v>16</v>
      </c>
      <c r="D44" s="576" t="s">
        <v>20</v>
      </c>
      <c r="E44" s="575"/>
      <c r="F44" s="575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698000</v>
      </c>
      <c r="M45" s="91">
        <f ca="1">IFERROR(__xludf.DUMMYFUNCTION("IMPORTRANGE(""https://docs.google.com/spreadsheets/d/1Yj_ptqi66GCucihVvJfMjLAmec39IyEx_6qawtMGysU/edit?usp=sharing"",""สบก!Q91"")"),698000)</f>
        <v>698000</v>
      </c>
      <c r="N45" s="91">
        <f ca="1">IFERROR(__xludf.DUMMYFUNCTION("IMPORTRANGE(""https://docs.google.com/spreadsheets/d/1Yj_ptqi66GCucihVvJfMjLAmec39IyEx_6qawtMGysU/edit?usp=sharing"",""สบก!R91"")"),659816.01)</f>
        <v>659816.01</v>
      </c>
      <c r="O45" s="92">
        <f ca="1">IF(L45&gt;0,N45*100/L45,0)</f>
        <v>94.529514326647558</v>
      </c>
      <c r="P45" s="92">
        <f ca="1">IF(M45&gt;0,N45*100/M45,0)</f>
        <v>94.529514326647558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IFERROR(__xludf.DUMMYFUNCTION("IMPORTRANGE(""https://docs.google.com/spreadsheets/d/1Yj_ptqi66GCucihVvJfMjLAmec39IyEx_6qawtMGysU/edit?usp=sharing"",""สบก!M91"")"),698000)</f>
        <v>698000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IFERROR(__xludf.DUMMYFUNCTION("IMPORTRANGE(""https://docs.google.com/spreadsheets/d/1Yj_ptqi66GCucihVvJfMjLAmec39IyEx_6qawtMGysU/edit?usp=sharing"",""สบก!N91"")"),0)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6" t="s">
        <v>23</v>
      </c>
      <c r="E48" s="57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IFERROR(__xludf.DUMMYFUNCTION("IMPORTRANGE(""https://docs.google.com/spreadsheets/d/1Yj_ptqi66GCucihVvJfMjLAmec39IyEx_6qawtMGysU/edit?usp=sharing"",""สบก!O91"")"),623000)</f>
        <v>623000</v>
      </c>
      <c r="M49" s="101">
        <f ca="1">L49</f>
        <v>623000</v>
      </c>
      <c r="N49" s="91">
        <f ca="1">IFERROR(__xludf.DUMMYFUNCTION("IMPORTRANGE(""https://docs.google.com/spreadsheets/d/1Yj_ptqi66GCucihVvJfMjLAmec39IyEx_6qawtMGysU/edit?usp=sharing"",""สบก!S91"")"),621000)</f>
        <v>621000</v>
      </c>
      <c r="O49" s="101">
        <f ca="1">IF(L49&gt;0,N49*100/L49,0)</f>
        <v>99.678972712680576</v>
      </c>
      <c r="P49" s="101">
        <f ca="1">IF(M49&gt;0,N49*100/M49,0)</f>
        <v>99.678972712680576</v>
      </c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577" t="s">
        <v>32</v>
      </c>
      <c r="C52" s="575"/>
      <c r="D52" s="575"/>
      <c r="E52" s="575"/>
      <c r="F52" s="575"/>
      <c r="G52" s="575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578" t="s">
        <v>17</v>
      </c>
      <c r="E53" s="575"/>
      <c r="F53" s="575"/>
      <c r="G53" s="575"/>
      <c r="H53" s="122" t="s">
        <v>12</v>
      </c>
      <c r="I53" s="123"/>
      <c r="J53" s="123"/>
      <c r="K53" s="124"/>
      <c r="L53" s="125">
        <f t="shared" ref="L53:N53" ca="1" si="39">L54+L55</f>
        <v>231682</v>
      </c>
      <c r="M53" s="125">
        <f t="shared" ca="1" si="39"/>
        <v>231682</v>
      </c>
      <c r="N53" s="125">
        <f t="shared" ca="1" si="39"/>
        <v>212182</v>
      </c>
      <c r="O53" s="124">
        <f t="shared" ref="O53:O55" ca="1" si="40">IF(L53&gt;0,N53*100/L53,0)</f>
        <v>91.583290890099363</v>
      </c>
      <c r="P53" s="124">
        <f t="shared" ref="P53:P55" ca="1" si="41">IF(M53&gt;0,N53*100/M53,0)</f>
        <v>91.583290890099363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231682</v>
      </c>
      <c r="M55" s="125">
        <f t="shared" ca="1" si="43"/>
        <v>231682</v>
      </c>
      <c r="N55" s="125">
        <f t="shared" ca="1" si="43"/>
        <v>212182</v>
      </c>
      <c r="O55" s="124">
        <f t="shared" ca="1" si="40"/>
        <v>91.583290890099363</v>
      </c>
      <c r="P55" s="124">
        <f t="shared" ca="1" si="41"/>
        <v>91.583290890099363</v>
      </c>
    </row>
    <row r="56" spans="1:16" ht="21.75" customHeight="1" x14ac:dyDescent="0.3">
      <c r="A56" s="80"/>
      <c r="B56" s="81"/>
      <c r="C56" s="82" t="s">
        <v>16</v>
      </c>
      <c r="D56" s="576" t="s">
        <v>20</v>
      </c>
      <c r="E56" s="575"/>
      <c r="F56" s="575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231682</v>
      </c>
      <c r="M57" s="91">
        <f ca="1">IFERROR(__xludf.DUMMYFUNCTION("IMPORTRANGE(""https://docs.google.com/spreadsheets/d/1Yj_ptqi66GCucihVvJfMjLAmec39IyEx_6qawtMGysU/edit?usp=sharing"",""สบก!Z91"")"),231682)</f>
        <v>231682</v>
      </c>
      <c r="N57" s="91">
        <f ca="1">IFERROR(__xludf.DUMMYFUNCTION("IMPORTRANGE(""https://docs.google.com/spreadsheets/d/1Yj_ptqi66GCucihVvJfMjLAmec39IyEx_6qawtMGysU/edit?usp=sharing"",""สบก!AA91"")"),212182)</f>
        <v>212182</v>
      </c>
      <c r="O57" s="92">
        <f ca="1">IF(L57&gt;0,N57*100/L57,0)</f>
        <v>91.583290890099363</v>
      </c>
      <c r="P57" s="92">
        <f ca="1">IF(M57&gt;0,N57*100/M57,0)</f>
        <v>91.583290890099363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IFERROR(__xludf.DUMMYFUNCTION("IMPORTRANGE(""https://docs.google.com/spreadsheets/d/1Yj_ptqi66GCucihVvJfMjLAmec39IyEx_6qawtMGysU/edit?usp=sharing"",""สบก!V91"")"),231682)</f>
        <v>231682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IFERROR(__xludf.DUMMYFUNCTION("IMPORTRANGE(""https://docs.google.com/spreadsheets/d/1Yj_ptqi66GCucihVvJfMjLAmec39IyEx_6qawtMGysU/edit?usp=sharing"",""สบก!W91"")"),0)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6" t="s">
        <v>23</v>
      </c>
      <c r="E60" s="57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IFERROR(__xludf.DUMMYFUNCTION("IMPORTRANGE(""https://docs.google.com/spreadsheets/d/1Yj_ptqi66GCucihVvJfMjLAmec39IyEx_6qawtMGysU/edit?usp=sharing"",""สบก!X91"")"),0)</f>
        <v>0</v>
      </c>
      <c r="M61" s="101"/>
      <c r="N61" s="91">
        <f ca="1">IFERROR(__xludf.DUMMYFUNCTION("IMPORTRANGE(""https://docs.google.com/spreadsheets/d/1Yj_ptqi66GCucihVvJfMjLAmec39IyEx_6qawtMGysU/edit?usp=sharing"",""สบก!AB91"")"),0)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IFERROR(__xludf.DUMMYFUNCTION("IMPORTRANGE(""https://docs.google.com/spreadsheets/d/1IYY_tgx_IHuhSq3AJ5eI5OnqOPBNLWSHKh2a30DoXe8/edit?usp=sharing"",""ระนอง!I9"")"),0)</f>
        <v>0</v>
      </c>
      <c r="J64" s="146">
        <f ca="1">IFERROR(__xludf.DUMMYFUNCTION("IMPORTRANGE(""https://docs.google.com/spreadsheets/d/1IYY_tgx_IHuhSq3AJ5eI5OnqOPBNLWSHKh2a30DoXe8/edit?usp=sharing"",""ระนอง!J9"")"),0)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IFERROR(__xludf.DUMMYFUNCTION("IMPORTRANGE(""https://docs.google.com/spreadsheets/d/1IYY_tgx_IHuhSq3AJ5eI5OnqOPBNLWSHKh2a30DoXe8/edit?usp=sharing"",""ระนอง!I10"")"),0)</f>
        <v>0</v>
      </c>
      <c r="J65" s="146">
        <f ca="1">IFERROR(__xludf.DUMMYFUNCTION("IMPORTRANGE(""https://docs.google.com/spreadsheets/d/1IYY_tgx_IHuhSq3AJ5eI5OnqOPBNLWSHKh2a30DoXe8/edit?usp=sharing"",""ระนอง!J10"")"),0)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2" t="s">
        <v>17</v>
      </c>
      <c r="E66" s="573"/>
      <c r="F66" s="573"/>
      <c r="G66" s="573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3">
      <c r="A69" s="162"/>
      <c r="B69" s="163"/>
      <c r="C69" s="163" t="s">
        <v>16</v>
      </c>
      <c r="D69" s="574" t="s">
        <v>20</v>
      </c>
      <c r="E69" s="575"/>
      <c r="F69" s="575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IFERROR(__xludf.DUMMYFUNCTION("IMPORTRANGE(""https://docs.google.com/spreadsheets/d/1Yj_ptqi66GCucihVvJfMjLAmec39IyEx_6qawtMGysU/edit?usp=sharing"",""สบก!AI91"")"),0)</f>
        <v>0</v>
      </c>
      <c r="N70" s="174">
        <f ca="1">IFERROR(__xludf.DUMMYFUNCTION("IMPORTRANGE(""https://docs.google.com/spreadsheets/d/1Yj_ptqi66GCucihVvJfMjLAmec39IyEx_6qawtMGysU/edit?usp=sharing"",""สบก!AJ91"")"),0)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IFERROR(__xludf.DUMMYFUNCTION("IMPORTRANGE(""https://docs.google.com/spreadsheets/d/1Yj_ptqi66GCucihVvJfMjLAmec39IyEx_6qawtMGysU/edit?usp=sharing"",""สบก!AE91"")"),0)</f>
        <v>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IFERROR(__xludf.DUMMYFUNCTION("IMPORTRANGE(""https://docs.google.com/spreadsheets/d/1Yj_ptqi66GCucihVvJfMjLAmec39IyEx_6qawtMGysU/edit?usp=sharing"",""สบก!AF91"")"),0)</f>
        <v>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6" t="s">
        <v>23</v>
      </c>
      <c r="E73" s="575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IFERROR(__xludf.DUMMYFUNCTION("IMPORTRANGE(""https://docs.google.com/spreadsheets/d/1Yj_ptqi66GCucihVvJfMjLAmec39IyEx_6qawtMGysU/edit?usp=sharing"",""สบก!AG91"")"),0)</f>
        <v>0</v>
      </c>
      <c r="M74" s="101"/>
      <c r="N74" s="91">
        <f ca="1">IFERROR(__xludf.DUMMYFUNCTION("IMPORTRANGE(""https://docs.google.com/spreadsheets/d/1Yj_ptqi66GCucihVvJfMjLAmec39IyEx_6qawtMGysU/edit?usp=sharing"",""สบก!AK91"")"),0)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IFERROR(__xludf.DUMMYFUNCTION("IMPORTRANGE(""https://docs.google.com/spreadsheets/d/1IYY_tgx_IHuhSq3AJ5eI5OnqOPBNLWSHKh2a30DoXe8/edit?usp=sharing"",""ระนอง!J16"")"),0)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IFERROR(__xludf.DUMMYFUNCTION("IMPORTRANGE(""https://docs.google.com/spreadsheets/d/1IYY_tgx_IHuhSq3AJ5eI5OnqOPBNLWSHKh2a30DoXe8/edit?usp=sharing"",""ระนอง!J17"")"),0)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IFERROR(__xludf.DUMMYFUNCTION("IMPORTRANGE(""https://docs.google.com/spreadsheets/d/1IYY_tgx_IHuhSq3AJ5eI5OnqOPBNLWSHKh2a30DoXe8/edit?usp=sharing"",""ระนอง!J18"")"),0)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IFERROR(__xludf.DUMMYFUNCTION("IMPORTRANGE(""https://docs.google.com/spreadsheets/d/1IYY_tgx_IHuhSq3AJ5eI5OnqOPBNLWSHKh2a30DoXe8/edit?usp=sharing"",""ระนอง!J19"")"),0)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IFERROR(__xludf.DUMMYFUNCTION("IMPORTRANGE(""https://docs.google.com/spreadsheets/d/1IYY_tgx_IHuhSq3AJ5eI5OnqOPBNLWSHKh2a30DoXe8/edit?usp=sharing"",""ระนอง!I20"")"),0)</f>
        <v>0</v>
      </c>
      <c r="J80" s="207">
        <f ca="1">IFERROR(__xludf.DUMMYFUNCTION("IMPORTRANGE(""https://docs.google.com/spreadsheets/d/1IYY_tgx_IHuhSq3AJ5eI5OnqOPBNLWSHKh2a30DoXe8/edit?usp=sharing"",""ระนอง!J20"")"),0)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IFERROR(__xludf.DUMMYFUNCTION("IMPORTRANGE(""https://docs.google.com/spreadsheets/d/1IYY_tgx_IHuhSq3AJ5eI5OnqOPBNLWSHKh2a30DoXe8/edit?usp=sharing"",""ระนอง!I21"")"),0)</f>
        <v>0</v>
      </c>
      <c r="J81" s="207">
        <f ca="1">IFERROR(__xludf.DUMMYFUNCTION("IMPORTRANGE(""https://docs.google.com/spreadsheets/d/1IYY_tgx_IHuhSq3AJ5eI5OnqOPBNLWSHKh2a30DoXe8/edit?usp=sharing"",""ระนอง!J21"")"),0)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IFERROR(__xludf.DUMMYFUNCTION("IMPORTRANGE(""https://docs.google.com/spreadsheets/d/1IYY_tgx_IHuhSq3AJ5eI5OnqOPBNLWSHKh2a30DoXe8/edit?usp=sharing"",""ระนอง!I22"")"),0)</f>
        <v>0</v>
      </c>
      <c r="J82" s="210">
        <f ca="1">IFERROR(__xludf.DUMMYFUNCTION("IMPORTRANGE(""https://docs.google.com/spreadsheets/d/1IYY_tgx_IHuhSq3AJ5eI5OnqOPBNLWSHKh2a30DoXe8/edit?usp=sharing"",""ระนอง!J22"")"),0)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IFERROR(__xludf.DUMMYFUNCTION("IMPORTRANGE(""https://docs.google.com/spreadsheets/d/1IYY_tgx_IHuhSq3AJ5eI5OnqOPBNLWSHKh2a30DoXe8/edit?usp=sharing"",""ระนอง!I23"")"),0)</f>
        <v>0</v>
      </c>
      <c r="J83" s="210">
        <f ca="1">IFERROR(__xludf.DUMMYFUNCTION("IMPORTRANGE(""https://docs.google.com/spreadsheets/d/1IYY_tgx_IHuhSq3AJ5eI5OnqOPBNLWSHKh2a30DoXe8/edit?usp=sharing"",""ระนอง!J23"")"),0)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IFERROR(__xludf.DUMMYFUNCTION("IMPORTRANGE(""https://docs.google.com/spreadsheets/d/1IYY_tgx_IHuhSq3AJ5eI5OnqOPBNLWSHKh2a30DoXe8/edit?usp=sharing"",""ระนอง!I24"")"),0)</f>
        <v>0</v>
      </c>
      <c r="J84" s="195">
        <f ca="1">IFERROR(__xludf.DUMMYFUNCTION("IMPORTRANGE(""https://docs.google.com/spreadsheets/d/1IYY_tgx_IHuhSq3AJ5eI5OnqOPBNLWSHKh2a30DoXe8/edit?usp=sharing"",""ระนอง!J24"")"),0)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IFERROR(__xludf.DUMMYFUNCTION("IMPORTRANGE(""https://docs.google.com/spreadsheets/d/1IYY_tgx_IHuhSq3AJ5eI5OnqOPBNLWSHKh2a30DoXe8/edit?usp=sharing"",""ระนอง!I25"")"),0)</f>
        <v>0</v>
      </c>
      <c r="J85" s="195">
        <f ca="1">IFERROR(__xludf.DUMMYFUNCTION("IMPORTRANGE(""https://docs.google.com/spreadsheets/d/1IYY_tgx_IHuhSq3AJ5eI5OnqOPBNLWSHKh2a30DoXe8/edit?usp=sharing"",""ระนอง!J25"")"),0)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IFERROR(__xludf.DUMMYFUNCTION("IMPORTRANGE(""https://docs.google.com/spreadsheets/d/1IYY_tgx_IHuhSq3AJ5eI5OnqOPBNLWSHKh2a30DoXe8/edit?usp=sharing"",""ระนอง!I26"")"),0)</f>
        <v>0</v>
      </c>
      <c r="J86" s="210">
        <f ca="1">IFERROR(__xludf.DUMMYFUNCTION("IMPORTRANGE(""https://docs.google.com/spreadsheets/d/1IYY_tgx_IHuhSq3AJ5eI5OnqOPBNLWSHKh2a30DoXe8/edit?usp=sharing"",""ระนอง!J26"")"),0)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IFERROR(__xludf.DUMMYFUNCTION("IMPORTRANGE(""https://docs.google.com/spreadsheets/d/1IYY_tgx_IHuhSq3AJ5eI5OnqOPBNLWSHKh2a30DoXe8/edit?usp=sharing"",""ระนอง!I27"")"),0)</f>
        <v>0</v>
      </c>
      <c r="J87" s="210">
        <f ca="1">IFERROR(__xludf.DUMMYFUNCTION("IMPORTRANGE(""https://docs.google.com/spreadsheets/d/1IYY_tgx_IHuhSq3AJ5eI5OnqOPBNLWSHKh2a30DoXe8/edit?usp=sharing"",""ระนอง!J27"")"),0)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IFERROR(__xludf.DUMMYFUNCTION("IMPORTRANGE(""https://docs.google.com/spreadsheets/d/1IYY_tgx_IHuhSq3AJ5eI5OnqOPBNLWSHKh2a30DoXe8/edit?usp=sharing"",""ระนอง!I28"")"),0)</f>
        <v>0</v>
      </c>
      <c r="J88" s="210">
        <f ca="1">IFERROR(__xludf.DUMMYFUNCTION("IMPORTRANGE(""https://docs.google.com/spreadsheets/d/1IYY_tgx_IHuhSq3AJ5eI5OnqOPBNLWSHKh2a30DoXe8/edit?usp=sharing"",""ระนอง!J28"")"),0)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IFERROR(__xludf.DUMMYFUNCTION("IMPORTRANGE(""https://docs.google.com/spreadsheets/d/1IYY_tgx_IHuhSq3AJ5eI5OnqOPBNLWSHKh2a30DoXe8/edit?usp=sharing"",""ระนอง!J29"")"),0)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IFERROR(__xludf.DUMMYFUNCTION("IMPORTRANGE(""https://docs.google.com/spreadsheets/d/1IYY_tgx_IHuhSq3AJ5eI5OnqOPBNLWSHKh2a30DoXe8/edit?usp=sharing"",""ระนอง!J30"")"),0)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IFERROR(__xludf.DUMMYFUNCTION("IMPORTRANGE(""https://docs.google.com/spreadsheets/d/1IYY_tgx_IHuhSq3AJ5eI5OnqOPBNLWSHKh2a30DoXe8/edit?usp=sharing"",""ระนอง!I32"")"),4)</f>
        <v>4</v>
      </c>
      <c r="J92" s="146">
        <f ca="1">IFERROR(__xludf.DUMMYFUNCTION("IMPORTRANGE(""https://docs.google.com/spreadsheets/d/1IYY_tgx_IHuhSq3AJ5eI5OnqOPBNLWSHKh2a30DoXe8/edit?usp=sharing"",""ระนอง!J32"")"),4)</f>
        <v>4</v>
      </c>
      <c r="K92" s="147">
        <f t="shared" ref="K92:K93" ca="1" si="51">IF(I92&gt;0,J92*100/I92,0)</f>
        <v>100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IFERROR(__xludf.DUMMYFUNCTION("IMPORTRANGE(""https://docs.google.com/spreadsheets/d/1IYY_tgx_IHuhSq3AJ5eI5OnqOPBNLWSHKh2a30DoXe8/edit?usp=sharing"",""ระนอง!I33"")"),1)</f>
        <v>1</v>
      </c>
      <c r="J93" s="146">
        <f ca="1">IFERROR(__xludf.DUMMYFUNCTION("IMPORTRANGE(""https://docs.google.com/spreadsheets/d/1IYY_tgx_IHuhSq3AJ5eI5OnqOPBNLWSHKh2a30DoXe8/edit?usp=sharing"",""ระนอง!J33"")"),1)</f>
        <v>1</v>
      </c>
      <c r="K93" s="147">
        <f t="shared" ca="1" si="51"/>
        <v>100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2" t="s">
        <v>17</v>
      </c>
      <c r="E94" s="573"/>
      <c r="F94" s="573"/>
      <c r="G94" s="573"/>
      <c r="H94" s="153" t="s">
        <v>12</v>
      </c>
      <c r="I94" s="166"/>
      <c r="J94" s="166"/>
      <c r="K94" s="167"/>
      <c r="L94" s="156">
        <f t="shared" ref="L94:N94" ca="1" si="52">L95+L96</f>
        <v>214500</v>
      </c>
      <c r="M94" s="156">
        <f t="shared" ca="1" si="52"/>
        <v>204500</v>
      </c>
      <c r="N94" s="156">
        <f t="shared" ca="1" si="52"/>
        <v>183505</v>
      </c>
      <c r="O94" s="155">
        <f t="shared" ref="O94:O96" ca="1" si="53">IF(L94&gt;0,N94*100/L94,0)</f>
        <v>85.550116550116556</v>
      </c>
      <c r="P94" s="155">
        <f t="shared" ref="P94:P96" ca="1" si="54">IF(M94&gt;0,N94*100/M94,0)</f>
        <v>89.733496332518342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214500</v>
      </c>
      <c r="M96" s="161">
        <f t="shared" ca="1" si="56"/>
        <v>204500</v>
      </c>
      <c r="N96" s="161">
        <f t="shared" ca="1" si="56"/>
        <v>183505</v>
      </c>
      <c r="O96" s="160">
        <f t="shared" ca="1" si="53"/>
        <v>85.550116550116556</v>
      </c>
      <c r="P96" s="160">
        <f t="shared" ca="1" si="54"/>
        <v>89.733496332518342</v>
      </c>
    </row>
    <row r="97" spans="1:16" ht="21.75" customHeight="1" x14ac:dyDescent="0.3">
      <c r="A97" s="162"/>
      <c r="B97" s="163"/>
      <c r="C97" s="163" t="s">
        <v>16</v>
      </c>
      <c r="D97" s="574" t="s">
        <v>20</v>
      </c>
      <c r="E97" s="575"/>
      <c r="F97" s="575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122100</v>
      </c>
      <c r="M98" s="173">
        <f ca="1">IFERROR(__xludf.DUMMYFUNCTION("IMPORTRANGE(""https://docs.google.com/spreadsheets/d/1Yj_ptqi66GCucihVvJfMjLAmec39IyEx_6qawtMGysU/edit?usp=sharing"",""สบก!AR91"")"),112100)</f>
        <v>112100</v>
      </c>
      <c r="N98" s="174">
        <f ca="1">IFERROR(__xludf.DUMMYFUNCTION("IMPORTRANGE(""https://docs.google.com/spreadsheets/d/1Yj_ptqi66GCucihVvJfMjLAmec39IyEx_6qawtMGysU/edit?usp=sharing"",""สบก!AS91"")"),91105)</f>
        <v>91105</v>
      </c>
      <c r="O98" s="175">
        <f ca="1">IF(L98&gt;0,N98*100/L98,0)</f>
        <v>74.615069615069615</v>
      </c>
      <c r="P98" s="175">
        <f ca="1">IF(M98&gt;0,N98*100/M98,0)</f>
        <v>81.271186440677965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IFERROR(__xludf.DUMMYFUNCTION("IMPORTRANGE(""https://docs.google.com/spreadsheets/d/1Yj_ptqi66GCucihVvJfMjLAmec39IyEx_6qawtMGysU/edit?usp=sharing"",""สบก!AN91"")"),0)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IFERROR(__xludf.DUMMYFUNCTION("IMPORTRANGE(""https://docs.google.com/spreadsheets/d/1Yj_ptqi66GCucihVvJfMjLAmec39IyEx_6qawtMGysU/edit?usp=sharing"",""สบก!AO91"")"),122100)</f>
        <v>122100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6" t="s">
        <v>23</v>
      </c>
      <c r="E101" s="575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IFERROR(__xludf.DUMMYFUNCTION("IMPORTRANGE(""https://docs.google.com/spreadsheets/d/1Yj_ptqi66GCucihVvJfMjLAmec39IyEx_6qawtMGysU/edit?usp=sharing"",""สบก!AP91"")"),92400)</f>
        <v>92400</v>
      </c>
      <c r="M102" s="101">
        <f ca="1">L102</f>
        <v>92400</v>
      </c>
      <c r="N102" s="91">
        <f ca="1">IFERROR(__xludf.DUMMYFUNCTION("IMPORTRANGE(""https://docs.google.com/spreadsheets/d/1Yj_ptqi66GCucihVvJfMjLAmec39IyEx_6qawtMGysU/edit?usp=sharing"",""สบก!AT91"")"),92400)</f>
        <v>92400</v>
      </c>
      <c r="O102" s="101">
        <f ca="1">IF(L102&gt;0,N102*100/L102,0)</f>
        <v>100</v>
      </c>
      <c r="P102" s="101">
        <f ca="1">IF(M102&gt;0,N102*100/M102,0)</f>
        <v>100</v>
      </c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IFERROR(__xludf.DUMMYFUNCTION("IMPORTRANGE(""https://docs.google.com/spreadsheets/d/1IYY_tgx_IHuhSq3AJ5eI5OnqOPBNLWSHKh2a30DoXe8/edit?usp=sharing"",""ระนอง!J39"")"),0)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IFERROR(__xludf.DUMMYFUNCTION("IMPORTRANGE(""https://docs.google.com/spreadsheets/d/1IYY_tgx_IHuhSq3AJ5eI5OnqOPBNLWSHKh2a30DoXe8/edit?usp=sharing"",""ระนอง!J40"")"),1)</f>
        <v>1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IFERROR(__xludf.DUMMYFUNCTION("IMPORTRANGE(""https://docs.google.com/spreadsheets/d/1IYY_tgx_IHuhSq3AJ5eI5OnqOPBNLWSHKh2a30DoXe8/edit?usp=sharing"",""ระนอง!J41"")"),1)</f>
        <v>1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IFERROR(__xludf.DUMMYFUNCTION("IMPORTRANGE(""https://docs.google.com/spreadsheets/d/1IYY_tgx_IHuhSq3AJ5eI5OnqOPBNLWSHKh2a30DoXe8/edit?usp=sharing"",""ระนอง!J42"")"),1)</f>
        <v>1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IFERROR(__xludf.DUMMYFUNCTION("IMPORTRANGE(""https://docs.google.com/spreadsheets/d/1IYY_tgx_IHuhSq3AJ5eI5OnqOPBNLWSHKh2a30DoXe8/edit?usp=sharing"",""ระนอง!I43"")"),1)</f>
        <v>1</v>
      </c>
      <c r="J108" s="210">
        <f ca="1">IFERROR(__xludf.DUMMYFUNCTION("IMPORTRANGE(""https://docs.google.com/spreadsheets/d/1IYY_tgx_IHuhSq3AJ5eI5OnqOPBNLWSHKh2a30DoXe8/edit?usp=sharing"",""ระนอง!J43"")"),1)</f>
        <v>1</v>
      </c>
      <c r="K108" s="230">
        <f t="shared" ref="K108:K113" ca="1" si="57">IF(I108&gt;0,J108*100/I108,0)</f>
        <v>100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IFERROR(__xludf.DUMMYFUNCTION("IMPORTRANGE(""https://docs.google.com/spreadsheets/d/1IYY_tgx_IHuhSq3AJ5eI5OnqOPBNLWSHKh2a30DoXe8/edit?usp=sharing"",""ระนอง!I44"")"),4)</f>
        <v>4</v>
      </c>
      <c r="J109" s="210">
        <f ca="1">IFERROR(__xludf.DUMMYFUNCTION("IMPORTRANGE(""https://docs.google.com/spreadsheets/d/1IYY_tgx_IHuhSq3AJ5eI5OnqOPBNLWSHKh2a30DoXe8/edit?usp=sharing"",""ระนอง!J44"")"),4)</f>
        <v>4</v>
      </c>
      <c r="K109" s="230">
        <f t="shared" ca="1" si="57"/>
        <v>100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IFERROR(__xludf.DUMMYFUNCTION("IMPORTRANGE(""https://docs.google.com/spreadsheets/d/1IYY_tgx_IHuhSq3AJ5eI5OnqOPBNLWSHKh2a30DoXe8/edit?usp=sharing"",""ระนอง!I45"")"),4)</f>
        <v>4</v>
      </c>
      <c r="J110" s="210">
        <f ca="1">IFERROR(__xludf.DUMMYFUNCTION("IMPORTRANGE(""https://docs.google.com/spreadsheets/d/1IYY_tgx_IHuhSq3AJ5eI5OnqOPBNLWSHKh2a30DoXe8/edit?usp=sharing"",""ระนอง!J45"")"),4)</f>
        <v>4</v>
      </c>
      <c r="K110" s="230">
        <f t="shared" ca="1" si="57"/>
        <v>100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IFERROR(__xludf.DUMMYFUNCTION("IMPORTRANGE(""https://docs.google.com/spreadsheets/d/1IYY_tgx_IHuhSq3AJ5eI5OnqOPBNLWSHKh2a30DoXe8/edit?usp=sharing"",""ระนอง!I46"")"),4)</f>
        <v>4</v>
      </c>
      <c r="J111" s="210">
        <f ca="1">IFERROR(__xludf.DUMMYFUNCTION("IMPORTRANGE(""https://docs.google.com/spreadsheets/d/1IYY_tgx_IHuhSq3AJ5eI5OnqOPBNLWSHKh2a30DoXe8/edit?usp=sharing"",""ระนอง!J46"")"),4)</f>
        <v>4</v>
      </c>
      <c r="K111" s="230">
        <f t="shared" ca="1" si="57"/>
        <v>100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IFERROR(__xludf.DUMMYFUNCTION("IMPORTRANGE(""https://docs.google.com/spreadsheets/d/1IYY_tgx_IHuhSq3AJ5eI5OnqOPBNLWSHKh2a30DoXe8/edit?usp=sharing"",""ระนอง!I47"")"),4)</f>
        <v>4</v>
      </c>
      <c r="J112" s="210">
        <f ca="1">IFERROR(__xludf.DUMMYFUNCTION("IMPORTRANGE(""https://docs.google.com/spreadsheets/d/1IYY_tgx_IHuhSq3AJ5eI5OnqOPBNLWSHKh2a30DoXe8/edit?usp=sharing"",""ระนอง!J47"")"),4)</f>
        <v>4</v>
      </c>
      <c r="K112" s="230">
        <f t="shared" ca="1" si="57"/>
        <v>100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IFERROR(__xludf.DUMMYFUNCTION("IMPORTRANGE(""https://docs.google.com/spreadsheets/d/1IYY_tgx_IHuhSq3AJ5eI5OnqOPBNLWSHKh2a30DoXe8/edit?usp=sharing"",""ระนอง!I48"")"),1)</f>
        <v>1</v>
      </c>
      <c r="J113" s="210">
        <f ca="1">IFERROR(__xludf.DUMMYFUNCTION("IMPORTRANGE(""https://docs.google.com/spreadsheets/d/1IYY_tgx_IHuhSq3AJ5eI5OnqOPBNLWSHKh2a30DoXe8/edit?usp=sharing"",""ระนอง!J48"")"),1)</f>
        <v>1</v>
      </c>
      <c r="K113" s="230">
        <f t="shared" ca="1" si="57"/>
        <v>100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IFERROR(__xludf.DUMMYFUNCTION("IMPORTRANGE(""https://docs.google.com/spreadsheets/d/1IYY_tgx_IHuhSq3AJ5eI5OnqOPBNLWSHKh2a30DoXe8/edit?usp=sharing"",""ระนอง!J49"")"),0)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IFERROR(__xludf.DUMMYFUNCTION("IMPORTRANGE(""https://docs.google.com/spreadsheets/d/1IYY_tgx_IHuhSq3AJ5eI5OnqOPBNLWSHKh2a30DoXe8/edit?usp=sharing"",""ระนอง!J50"")"),0)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IFERROR(__xludf.DUMMYFUNCTION("IMPORTRANGE(""https://docs.google.com/spreadsheets/d/1IYY_tgx_IHuhSq3AJ5eI5OnqOPBNLWSHKh2a30DoXe8/edit?usp=sharing"",""ระนอง!I52"")"),0)</f>
        <v>0</v>
      </c>
      <c r="J117" s="146">
        <f ca="1">IFERROR(__xludf.DUMMYFUNCTION("IMPORTRANGE(""https://docs.google.com/spreadsheets/d/1IYY_tgx_IHuhSq3AJ5eI5OnqOPBNLWSHKh2a30DoXe8/edit?usp=sharing"",""ระนอง!J52"")"),0)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2" t="s">
        <v>17</v>
      </c>
      <c r="E118" s="573"/>
      <c r="F118" s="573"/>
      <c r="G118" s="573"/>
      <c r="H118" s="153" t="s">
        <v>12</v>
      </c>
      <c r="I118" s="166"/>
      <c r="J118" s="166"/>
      <c r="K118" s="167"/>
      <c r="L118" s="156">
        <f t="shared" ref="L118:N118" ca="1" si="58">L119+L120</f>
        <v>0</v>
      </c>
      <c r="M118" s="156">
        <f t="shared" ca="1" si="58"/>
        <v>0</v>
      </c>
      <c r="N118" s="156">
        <f t="shared" ca="1" si="58"/>
        <v>0</v>
      </c>
      <c r="O118" s="155">
        <f t="shared" ref="O118:O120" ca="1" si="59">IF(L118&gt;0,N118*100/L118,0)</f>
        <v>0</v>
      </c>
      <c r="P118" s="155">
        <f t="shared" ref="P118:P120" ca="1" si="60">IF(M118&gt;0,N118*100/M118,0)</f>
        <v>0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0</v>
      </c>
      <c r="M120" s="161">
        <f t="shared" ca="1" si="62"/>
        <v>0</v>
      </c>
      <c r="N120" s="161">
        <f t="shared" ca="1" si="62"/>
        <v>0</v>
      </c>
      <c r="O120" s="160">
        <f t="shared" ca="1" si="59"/>
        <v>0</v>
      </c>
      <c r="P120" s="160">
        <f t="shared" ca="1" si="60"/>
        <v>0</v>
      </c>
    </row>
    <row r="121" spans="1:16" ht="21.75" customHeight="1" x14ac:dyDescent="0.3">
      <c r="A121" s="162"/>
      <c r="B121" s="163"/>
      <c r="C121" s="163" t="s">
        <v>16</v>
      </c>
      <c r="D121" s="574" t="s">
        <v>20</v>
      </c>
      <c r="E121" s="575"/>
      <c r="F121" s="575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0</v>
      </c>
      <c r="M122" s="173">
        <f ca="1">IFERROR(__xludf.DUMMYFUNCTION("IMPORTRANGE(""https://docs.google.com/spreadsheets/d/1Yj_ptqi66GCucihVvJfMjLAmec39IyEx_6qawtMGysU/edit?usp=sharing"",""สบก!BA91"")"),0)</f>
        <v>0</v>
      </c>
      <c r="N122" s="174">
        <f ca="1">IFERROR(__xludf.DUMMYFUNCTION("IMPORTRANGE(""https://docs.google.com/spreadsheets/d/1Yj_ptqi66GCucihVvJfMjLAmec39IyEx_6qawtMGysU/edit?usp=sharing"",""สบก!BB91"")"),0)</f>
        <v>0</v>
      </c>
      <c r="O122" s="175">
        <f ca="1">IF(L122&gt;0,N122*100/L122,0)</f>
        <v>0</v>
      </c>
      <c r="P122" s="175">
        <f ca="1">IF(M122&gt;0,N122*100/M122,0)</f>
        <v>0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IFERROR(__xludf.DUMMYFUNCTION("IMPORTRANGE(""https://docs.google.com/spreadsheets/d/1Yj_ptqi66GCucihVvJfMjLAmec39IyEx_6qawtMGysU/edit?usp=sharing"",""สบก!AW91"")"),0)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IFERROR(__xludf.DUMMYFUNCTION("IMPORTRANGE(""https://docs.google.com/spreadsheets/d/1Yj_ptqi66GCucihVvJfMjLAmec39IyEx_6qawtMGysU/edit?usp=sharing"",""สบก!AX91"")"),0)</f>
        <v>0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6" t="s">
        <v>23</v>
      </c>
      <c r="E125" s="575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IFERROR(__xludf.DUMMYFUNCTION("IMPORTRANGE(""https://docs.google.com/spreadsheets/d/1Yj_ptqi66GCucihVvJfMjLAmec39IyEx_6qawtMGysU/edit?usp=sharing"",""สบก!AY91"")"),0)</f>
        <v>0</v>
      </c>
      <c r="M126" s="101"/>
      <c r="N126" s="91">
        <f ca="1">IFERROR(__xludf.DUMMYFUNCTION("IMPORTRANGE(""https://docs.google.com/spreadsheets/d/1Yj_ptqi66GCucihVvJfMjLAmec39IyEx_6qawtMGysU/edit?usp=sharing"",""สบก!BC91"")"),0)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283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IFERROR(__xludf.DUMMYFUNCTION("IMPORTRANGE(""https://docs.google.com/spreadsheets/d/1IYY_tgx_IHuhSq3AJ5eI5OnqOPBNLWSHKh2a30DoXe8/edit?usp=sharing"",""ระนอง!J58"")"),0)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IFERROR(__xludf.DUMMYFUNCTION("IMPORTRANGE(""https://docs.google.com/spreadsheets/d/1IYY_tgx_IHuhSq3AJ5eI5OnqOPBNLWSHKh2a30DoXe8/edit?usp=sharing"",""ระนอง!J59"")"),0)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IFERROR(__xludf.DUMMYFUNCTION("IMPORTRANGE(""https://docs.google.com/spreadsheets/d/1IYY_tgx_IHuhSq3AJ5eI5OnqOPBNLWSHKh2a30DoXe8/edit?usp=sharing"",""ระนอง!J60"")"),0)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IFERROR(__xludf.DUMMYFUNCTION("IMPORTRANGE(""https://docs.google.com/spreadsheets/d/1IYY_tgx_IHuhSq3AJ5eI5OnqOPBNLWSHKh2a30DoXe8/edit?usp=sharing"",""ระนอง!J61"")"),0)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IFERROR(__xludf.DUMMYFUNCTION("IMPORTRANGE(""https://docs.google.com/spreadsheets/d/1IYY_tgx_IHuhSq3AJ5eI5OnqOPBNLWSHKh2a30DoXe8/edit?usp=sharing"",""ระนอง!I62"")"),0)</f>
        <v>0</v>
      </c>
      <c r="J132" s="210">
        <f ca="1">IFERROR(__xludf.DUMMYFUNCTION("IMPORTRANGE(""https://docs.google.com/spreadsheets/d/1IYY_tgx_IHuhSq3AJ5eI5OnqOPBNLWSHKh2a30DoXe8/edit?usp=sharing"",""ระนอง!J62"")"),0)</f>
        <v>0</v>
      </c>
      <c r="K132" s="230">
        <f t="shared" ref="K132:K133" ca="1" si="63">IF(I132&gt;0,J132*100/I132,0)</f>
        <v>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IFERROR(__xludf.DUMMYFUNCTION("IMPORTRANGE(""https://docs.google.com/spreadsheets/d/1IYY_tgx_IHuhSq3AJ5eI5OnqOPBNLWSHKh2a30DoXe8/edit?usp=sharing"",""ระนอง!I63"")"),0)</f>
        <v>0</v>
      </c>
      <c r="J133" s="210">
        <f ca="1">IFERROR(__xludf.DUMMYFUNCTION("IMPORTRANGE(""https://docs.google.com/spreadsheets/d/1IYY_tgx_IHuhSq3AJ5eI5OnqOPBNLWSHKh2a30DoXe8/edit?usp=sharing"",""ระนอง!J63"")"),0)</f>
        <v>0</v>
      </c>
      <c r="K133" s="230">
        <f t="shared" ca="1" si="63"/>
        <v>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IFERROR(__xludf.DUMMYFUNCTION("IMPORTRANGE(""https://docs.google.com/spreadsheets/d/1IYY_tgx_IHuhSq3AJ5eI5OnqOPBNLWSHKh2a30DoXe8/edit?usp=sharing"",""ระนอง!J64"")"),0)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IFERROR(__xludf.DUMMYFUNCTION("IMPORTRANGE(""https://docs.google.com/spreadsheets/d/1IYY_tgx_IHuhSq3AJ5eI5OnqOPBNLWSHKh2a30DoXe8/edit?usp=sharing"",""ระนอง!J65"")"),0)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IFERROR(__xludf.DUMMYFUNCTION("IMPORTRANGE(""https://docs.google.com/spreadsheets/d/1IYY_tgx_IHuhSq3AJ5eI5OnqOPBNLWSHKh2a30DoXe8/edit?usp=sharing"",""ระนอง!I68"")"),0)</f>
        <v>0</v>
      </c>
      <c r="J138" s="273">
        <f ca="1">IFERROR(__xludf.DUMMYFUNCTION("IMPORTRANGE(""https://docs.google.com/spreadsheets/d/1IYY_tgx_IHuhSq3AJ5eI5OnqOPBNLWSHKh2a30DoXe8/edit?usp=sharing"",""ระนอง!J68"")"),0)</f>
        <v>0</v>
      </c>
      <c r="K138" s="274">
        <f ca="1">IF(I138&gt;0,J138*100/I138,0)</f>
        <v>0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2" t="s">
        <v>17</v>
      </c>
      <c r="E140" s="573"/>
      <c r="F140" s="573"/>
      <c r="G140" s="573"/>
      <c r="H140" s="153" t="s">
        <v>12</v>
      </c>
      <c r="I140" s="166"/>
      <c r="J140" s="166"/>
      <c r="K140" s="167"/>
      <c r="L140" s="156">
        <f t="shared" ref="L140:N140" ca="1" si="64">L141+L142</f>
        <v>51600</v>
      </c>
      <c r="M140" s="156">
        <f t="shared" ca="1" si="64"/>
        <v>51600</v>
      </c>
      <c r="N140" s="156">
        <f t="shared" ca="1" si="64"/>
        <v>50460</v>
      </c>
      <c r="O140" s="155">
        <f t="shared" ref="O140:O142" ca="1" si="65">IF(L140&gt;0,N140*100/L140,0)</f>
        <v>97.79069767441861</v>
      </c>
      <c r="P140" s="155">
        <f t="shared" ref="P140:P142" ca="1" si="66">IF(M140&gt;0,N140*100/M140,0)</f>
        <v>97.79069767441861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51600</v>
      </c>
      <c r="M142" s="161">
        <f t="shared" ca="1" si="68"/>
        <v>51600</v>
      </c>
      <c r="N142" s="161">
        <f t="shared" ca="1" si="68"/>
        <v>50460</v>
      </c>
      <c r="O142" s="160">
        <f t="shared" ca="1" si="65"/>
        <v>97.79069767441861</v>
      </c>
      <c r="P142" s="160">
        <f t="shared" ca="1" si="66"/>
        <v>97.79069767441861</v>
      </c>
    </row>
    <row r="143" spans="1:16" ht="21.75" customHeight="1" x14ac:dyDescent="0.3">
      <c r="A143" s="162"/>
      <c r="B143" s="163"/>
      <c r="C143" s="163" t="s">
        <v>16</v>
      </c>
      <c r="D143" s="574" t="s">
        <v>20</v>
      </c>
      <c r="E143" s="575"/>
      <c r="F143" s="575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51600</v>
      </c>
      <c r="M144" s="173">
        <f ca="1">IFERROR(__xludf.DUMMYFUNCTION("IMPORTRANGE(""https://docs.google.com/spreadsheets/d/1Yj_ptqi66GCucihVvJfMjLAmec39IyEx_6qawtMGysU/edit?usp=sharing"",""สบก!BJ91"")"),51600)</f>
        <v>51600</v>
      </c>
      <c r="N144" s="174">
        <f ca="1">IFERROR(__xludf.DUMMYFUNCTION("IMPORTRANGE(""https://docs.google.com/spreadsheets/d/1Yj_ptqi66GCucihVvJfMjLAmec39IyEx_6qawtMGysU/edit?usp=sharing"",""สบก!BK91"")"),50460)</f>
        <v>50460</v>
      </c>
      <c r="O144" s="175">
        <f ca="1">IF(L144&gt;0,N144*100/L144,0)</f>
        <v>97.79069767441861</v>
      </c>
      <c r="P144" s="175">
        <f ca="1">IF(M144&gt;0,N144*100/M144,0)</f>
        <v>97.79069767441861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IFERROR(__xludf.DUMMYFUNCTION("IMPORTRANGE(""https://docs.google.com/spreadsheets/d/1Yj_ptqi66GCucihVvJfMjLAmec39IyEx_6qawtMGysU/edit?usp=sharing"",""สบก!BF91"")"),0)</f>
        <v>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IFERROR(__xludf.DUMMYFUNCTION("IMPORTRANGE(""https://docs.google.com/spreadsheets/d/1Yj_ptqi66GCucihVvJfMjLAmec39IyEx_6qawtMGysU/edit?usp=sharing"",""สบก!BG91"")"),51600)</f>
        <v>51600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6" t="s">
        <v>23</v>
      </c>
      <c r="E147" s="575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IFERROR(__xludf.DUMMYFUNCTION("IMPORTRANGE(""https://docs.google.com/spreadsheets/d/1Yj_ptqi66GCucihVvJfMjLAmec39IyEx_6qawtMGysU/edit?usp=sharing"",""สบก!BH91"")"),0)</f>
        <v>0</v>
      </c>
      <c r="M148" s="101"/>
      <c r="N148" s="91">
        <f ca="1">IFERROR(__xludf.DUMMYFUNCTION("IMPORTRANGE(""https://docs.google.com/spreadsheets/d/1Yj_ptqi66GCucihVvJfMjLAmec39IyEx_6qawtMGysU/edit?usp=sharing"",""สบก!BL91"")"),0)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IFERROR(__xludf.DUMMYFUNCTION("IMPORTRANGE(""https://docs.google.com/spreadsheets/d/1IYY_tgx_IHuhSq3AJ5eI5OnqOPBNLWSHKh2a30DoXe8/edit?usp=sharing"",""ระนอง!I74"")"),4)</f>
        <v>4</v>
      </c>
      <c r="J149" s="281">
        <f ca="1">IFERROR(__xludf.DUMMYFUNCTION("IMPORTRANGE(""https://docs.google.com/spreadsheets/d/1IYY_tgx_IHuhSq3AJ5eI5OnqOPBNLWSHKh2a30DoXe8/edit?usp=sharing"",""ระนอง!J74"")"),3)</f>
        <v>3</v>
      </c>
      <c r="K149" s="282">
        <f ca="1">IF(I149&gt;0,J149*100/I149,0)</f>
        <v>75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IFERROR(__xludf.DUMMYFUNCTION("IMPORTRANGE(""https://docs.google.com/spreadsheets/d/1IYY_tgx_IHuhSq3AJ5eI5OnqOPBNLWSHKh2a30DoXe8/edit?usp=sharing"",""ระนอง!J79"")"),0)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IFERROR(__xludf.DUMMYFUNCTION("IMPORTRANGE(""https://docs.google.com/spreadsheets/d/1IYY_tgx_IHuhSq3AJ5eI5OnqOPBNLWSHKh2a30DoXe8/edit?usp=sharing"",""ระนอง!J80"")"),1)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IFERROR(__xludf.DUMMYFUNCTION("IMPORTRANGE(""https://docs.google.com/spreadsheets/d/1IYY_tgx_IHuhSq3AJ5eI5OnqOPBNLWSHKh2a30DoXe8/edit?usp=sharing"",""ระนอง!J81"")"),1)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IFERROR(__xludf.DUMMYFUNCTION("IMPORTRANGE(""https://docs.google.com/spreadsheets/d/1IYY_tgx_IHuhSq3AJ5eI5OnqOPBNLWSHKh2a30DoXe8/edit?usp=sharing"",""ระนอง!J82"")"),1)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IFERROR(__xludf.DUMMYFUNCTION("IMPORTRANGE(""https://docs.google.com/spreadsheets/d/1IYY_tgx_IHuhSq3AJ5eI5OnqOPBNLWSHKh2a30DoXe8/edit?usp=sharing"",""ระนอง!I83"")"),4)</f>
        <v>4</v>
      </c>
      <c r="J158" s="195">
        <f ca="1">IFERROR(__xludf.DUMMYFUNCTION("IMPORTRANGE(""https://docs.google.com/spreadsheets/d/1IYY_tgx_IHuhSq3AJ5eI5OnqOPBNLWSHKh2a30DoXe8/edit?usp=sharing"",""ระนอง!J83"")"),3)</f>
        <v>3</v>
      </c>
      <c r="K158" s="167">
        <f ca="1">IF(I158&gt;0,J158*100/I158,0)</f>
        <v>75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IFERROR(__xludf.DUMMYFUNCTION("IMPORTRANGE(""https://docs.google.com/spreadsheets/d/1IYY_tgx_IHuhSq3AJ5eI5OnqOPBNLWSHKh2a30DoXe8/edit?usp=sharing"",""ระนอง!J84"")"),0)</f>
        <v>0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IFERROR(__xludf.DUMMYFUNCTION("IMPORTRANGE(""https://docs.google.com/spreadsheets/d/1IYY_tgx_IHuhSq3AJ5eI5OnqOPBNLWSHKh2a30DoXe8/edit?usp=sharing"",""ระนอง!J85"")"),0)</f>
        <v>0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IFERROR(__xludf.DUMMYFUNCTION("IMPORTRANGE(""https://docs.google.com/spreadsheets/d/1IYY_tgx_IHuhSq3AJ5eI5OnqOPBNLWSHKh2a30DoXe8/edit?usp=sharing"",""ระนอง!J86"")"),0)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IFERROR(__xludf.DUMMYFUNCTION("IMPORTRANGE(""https://docs.google.com/spreadsheets/d/1IYY_tgx_IHuhSq3AJ5eI5OnqOPBNLWSHKh2a30DoXe8/edit?usp=sharing"",""ระนอง!J87"")"),0)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IFERROR(__xludf.DUMMYFUNCTION("IMPORTRANGE(""https://docs.google.com/spreadsheets/d/1IYY_tgx_IHuhSq3AJ5eI5OnqOPBNLWSHKh2a30DoXe8/edit?usp=sharing"",""ระนอง!J88"")"),0)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IFERROR(__xludf.DUMMYFUNCTION("IMPORTRANGE(""https://docs.google.com/spreadsheets/d/1IYY_tgx_IHuhSq3AJ5eI5OnqOPBNLWSHKh2a30DoXe8/edit?usp=sharing"",""ระนอง!I89"")"),2)</f>
        <v>2</v>
      </c>
      <c r="J164" s="290">
        <f ca="1">IFERROR(__xludf.DUMMYFUNCTION("IMPORTRANGE(""https://docs.google.com/spreadsheets/d/1IYY_tgx_IHuhSq3AJ5eI5OnqOPBNLWSHKh2a30DoXe8/edit?usp=sharing"",""ระนอง!J89"")"),2)</f>
        <v>2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IFERROR(__xludf.DUMMYFUNCTION("IMPORTRANGE(""https://docs.google.com/spreadsheets/d/1IYY_tgx_IHuhSq3AJ5eI5OnqOPBNLWSHKh2a30DoXe8/edit?usp=sharing"",""ระนอง!J94"")"),0)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IFERROR(__xludf.DUMMYFUNCTION("IMPORTRANGE(""https://docs.google.com/spreadsheets/d/1IYY_tgx_IHuhSq3AJ5eI5OnqOPBNLWSHKh2a30DoXe8/edit?usp=sharing"",""ระนอง!J95"")"),1)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IFERROR(__xludf.DUMMYFUNCTION("IMPORTRANGE(""https://docs.google.com/spreadsheets/d/1IYY_tgx_IHuhSq3AJ5eI5OnqOPBNLWSHKh2a30DoXe8/edit?usp=sharing"",""ระนอง!J96"")"),1)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IFERROR(__xludf.DUMMYFUNCTION("IMPORTRANGE(""https://docs.google.com/spreadsheets/d/1IYY_tgx_IHuhSq3AJ5eI5OnqOPBNLWSHKh2a30DoXe8/edit?usp=sharing"",""ระนอง!J97"")"),1)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IFERROR(__xludf.DUMMYFUNCTION("IMPORTRANGE(""https://docs.google.com/spreadsheets/d/1IYY_tgx_IHuhSq3AJ5eI5OnqOPBNLWSHKh2a30DoXe8/edit?usp=sharing"",""ระนอง!I98"")"),2)</f>
        <v>2</v>
      </c>
      <c r="J173" s="195">
        <f ca="1">IFERROR(__xludf.DUMMYFUNCTION("IMPORTRANGE(""https://docs.google.com/spreadsheets/d/1IYY_tgx_IHuhSq3AJ5eI5OnqOPBNLWSHKh2a30DoXe8/edit?usp=sharing"",""ระนอง!J98"")"),2)</f>
        <v>2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IFERROR(__xludf.DUMMYFUNCTION("IMPORTRANGE(""https://docs.google.com/spreadsheets/d/1IYY_tgx_IHuhSq3AJ5eI5OnqOPBNLWSHKh2a30DoXe8/edit?usp=sharing"",""ระนอง!J99"")"),0)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IFERROR(__xludf.DUMMYFUNCTION("IMPORTRANGE(""https://docs.google.com/spreadsheets/d/1IYY_tgx_IHuhSq3AJ5eI5OnqOPBNLWSHKh2a30DoXe8/edit?usp=sharing"",""ระนอง!J100"")"),0)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IFERROR(__xludf.DUMMYFUNCTION("IMPORTRANGE(""https://docs.google.com/spreadsheets/d/1IYY_tgx_IHuhSq3AJ5eI5OnqOPBNLWSHKh2a30DoXe8/edit?usp=sharing"",""ระนอง!I101"")"),0)</f>
        <v>0</v>
      </c>
      <c r="J176" s="290">
        <f ca="1">IFERROR(__xludf.DUMMYFUNCTION("IMPORTRANGE(""https://docs.google.com/spreadsheets/d/1IYY_tgx_IHuhSq3AJ5eI5OnqOPBNLWSHKh2a30DoXe8/edit?usp=sharing"",""ระนอง!J101"")"),0)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IFERROR(__xludf.DUMMYFUNCTION("IMPORTRANGE(""https://docs.google.com/spreadsheets/d/1IYY_tgx_IHuhSq3AJ5eI5OnqOPBNLWSHKh2a30DoXe8/edit?usp=sharing"",""ระนอง!J106"")"),0)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IFERROR(__xludf.DUMMYFUNCTION("IMPORTRANGE(""https://docs.google.com/spreadsheets/d/1IYY_tgx_IHuhSq3AJ5eI5OnqOPBNLWSHKh2a30DoXe8/edit?usp=sharing"",""ระนอง!J107"")"),0)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IFERROR(__xludf.DUMMYFUNCTION("IMPORTRANGE(""https://docs.google.com/spreadsheets/d/1IYY_tgx_IHuhSq3AJ5eI5OnqOPBNLWSHKh2a30DoXe8/edit?usp=sharing"",""ระนอง!J108"")"),0)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IFERROR(__xludf.DUMMYFUNCTION("IMPORTRANGE(""https://docs.google.com/spreadsheets/d/1IYY_tgx_IHuhSq3AJ5eI5OnqOPBNLWSHKh2a30DoXe8/edit?usp=sharing"",""ระนอง!J109"")"),0)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IFERROR(__xludf.DUMMYFUNCTION("IMPORTRANGE(""https://docs.google.com/spreadsheets/d/1IYY_tgx_IHuhSq3AJ5eI5OnqOPBNLWSHKh2a30DoXe8/edit?usp=sharing"",""ระนอง!I110"")"),0)</f>
        <v>0</v>
      </c>
      <c r="J185" s="210">
        <f ca="1">IFERROR(__xludf.DUMMYFUNCTION("IMPORTRANGE(""https://docs.google.com/spreadsheets/d/1IYY_tgx_IHuhSq3AJ5eI5OnqOPBNLWSHKh2a30DoXe8/edit?usp=sharing"",""ระนอง!J110"")"),0)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IFERROR(__xludf.DUMMYFUNCTION("IMPORTRANGE(""https://docs.google.com/spreadsheets/d/1IYY_tgx_IHuhSq3AJ5eI5OnqOPBNLWSHKh2a30DoXe8/edit?usp=sharing"",""ระนอง!I111"")"),0)</f>
        <v>0</v>
      </c>
      <c r="J186" s="210">
        <f ca="1">IFERROR(__xludf.DUMMYFUNCTION("IMPORTRANGE(""https://docs.google.com/spreadsheets/d/1IYY_tgx_IHuhSq3AJ5eI5OnqOPBNLWSHKh2a30DoXe8/edit?usp=sharing"",""ระนอง!J111"")"),0)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IFERROR(__xludf.DUMMYFUNCTION("IMPORTRANGE(""https://docs.google.com/spreadsheets/d/1IYY_tgx_IHuhSq3AJ5eI5OnqOPBNLWSHKh2a30DoXe8/edit?usp=sharing"",""ระนอง!J112"")"),0)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IFERROR(__xludf.DUMMYFUNCTION("IMPORTRANGE(""https://docs.google.com/spreadsheets/d/1IYY_tgx_IHuhSq3AJ5eI5OnqOPBNLWSHKh2a30DoXe8/edit?usp=sharing"",""ระนอง!J113"")"),0)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IFERROR(__xludf.DUMMYFUNCTION("IMPORTRANGE(""https://docs.google.com/spreadsheets/d/1IYY_tgx_IHuhSq3AJ5eI5OnqOPBNLWSHKh2a30DoXe8/edit?usp=sharing"",""ระนอง!I114"")"),12800)</f>
        <v>12800</v>
      </c>
      <c r="J189" s="290">
        <f ca="1">IFERROR(__xludf.DUMMYFUNCTION("IMPORTRANGE(""https://docs.google.com/spreadsheets/d/1IYY_tgx_IHuhSq3AJ5eI5OnqOPBNLWSHKh2a30DoXe8/edit?usp=sharing"",""ระนอง!J114"")"),12800)</f>
        <v>12800</v>
      </c>
      <c r="K189" s="291">
        <f ca="1">IF(I189&gt;0,J189*100/I189,0)</f>
        <v>100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IFERROR(__xludf.DUMMYFUNCTION("IMPORTRANGE(""https://docs.google.com/spreadsheets/d/1IYY_tgx_IHuhSq3AJ5eI5OnqOPBNLWSHKh2a30DoXe8/edit?usp=sharing"",""ระนอง!J119"")"),0)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IFERROR(__xludf.DUMMYFUNCTION("IMPORTRANGE(""https://docs.google.com/spreadsheets/d/1IYY_tgx_IHuhSq3AJ5eI5OnqOPBNLWSHKh2a30DoXe8/edit?usp=sharing"",""ระนอง!J120"")"),1)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IFERROR(__xludf.DUMMYFUNCTION("IMPORTRANGE(""https://docs.google.com/spreadsheets/d/1IYY_tgx_IHuhSq3AJ5eI5OnqOPBNLWSHKh2a30DoXe8/edit?usp=sharing"",""ระนอง!J121"")"),1)</f>
        <v>1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IFERROR(__xludf.DUMMYFUNCTION("IMPORTRANGE(""https://docs.google.com/spreadsheets/d/1IYY_tgx_IHuhSq3AJ5eI5OnqOPBNLWSHKh2a30DoXe8/edit?usp=sharing"",""ระนอง!J122"")"),1)</f>
        <v>1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IFERROR(__xludf.DUMMYFUNCTION("IMPORTRANGE(""https://docs.google.com/spreadsheets/d/1IYY_tgx_IHuhSq3AJ5eI5OnqOPBNLWSHKh2a30DoXe8/edit?usp=sharing"",""ระนอง!I124"")"),12800)</f>
        <v>12800</v>
      </c>
      <c r="J199" s="195">
        <f ca="1">IFERROR(__xludf.DUMMYFUNCTION("IMPORTRANGE(""https://docs.google.com/spreadsheets/d/1IYY_tgx_IHuhSq3AJ5eI5OnqOPBNLWSHKh2a30DoXe8/edit?usp=sharing"",""ระนอง!J124"")"),12800)</f>
        <v>12800</v>
      </c>
      <c r="K199" s="167">
        <f t="shared" ref="K199:K201" ca="1" si="70">IF(I199&gt;0,J199*100/I199,0)</f>
        <v>100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IFERROR(__xludf.DUMMYFUNCTION("IMPORTRANGE(""https://docs.google.com/spreadsheets/d/1IYY_tgx_IHuhSq3AJ5eI5OnqOPBNLWSHKh2a30DoXe8/edit?usp=sharing"",""ระนอง!I125"")"),12800)</f>
        <v>12800</v>
      </c>
      <c r="J200" s="195">
        <f ca="1">IFERROR(__xludf.DUMMYFUNCTION("IMPORTRANGE(""https://docs.google.com/spreadsheets/d/1IYY_tgx_IHuhSq3AJ5eI5OnqOPBNLWSHKh2a30DoXe8/edit?usp=sharing"",""ระนอง!J125"")"),12800)</f>
        <v>12800</v>
      </c>
      <c r="K200" s="167">
        <f t="shared" ca="1" si="70"/>
        <v>100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IFERROR(__xludf.DUMMYFUNCTION("IMPORTRANGE(""https://docs.google.com/spreadsheets/d/1IYY_tgx_IHuhSq3AJ5eI5OnqOPBNLWSHKh2a30DoXe8/edit?usp=sharing"",""ระนอง!I126"")"),0)</f>
        <v>0</v>
      </c>
      <c r="J201" s="195">
        <f ca="1">IFERROR(__xludf.DUMMYFUNCTION("IMPORTRANGE(""https://docs.google.com/spreadsheets/d/1IYY_tgx_IHuhSq3AJ5eI5OnqOPBNLWSHKh2a30DoXe8/edit?usp=sharing"",""ระนอง!J126"")"),0)</f>
        <v>0</v>
      </c>
      <c r="K201" s="167">
        <f t="shared" ca="1" si="70"/>
        <v>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IFERROR(__xludf.DUMMYFUNCTION("IMPORTRANGE(""https://docs.google.com/spreadsheets/d/1IYY_tgx_IHuhSq3AJ5eI5OnqOPBNLWSHKh2a30DoXe8/edit?usp=sharing"",""ระนอง!J127"")"),0)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IFERROR(__xludf.DUMMYFUNCTION("IMPORTRANGE(""https://docs.google.com/spreadsheets/d/1IYY_tgx_IHuhSq3AJ5eI5OnqOPBNLWSHKh2a30DoXe8/edit?usp=sharing"",""ระนอง!J128"")"),0)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IFERROR(__xludf.DUMMYFUNCTION("IMPORTRANGE(""https://docs.google.com/spreadsheets/d/1IYY_tgx_IHuhSq3AJ5eI5OnqOPBNLWSHKh2a30DoXe8/edit?usp=sharing"",""ระนอง!I129"")"),0)</f>
        <v>0</v>
      </c>
      <c r="J204" s="290">
        <f ca="1">IFERROR(__xludf.DUMMYFUNCTION("IMPORTRANGE(""https://docs.google.com/spreadsheets/d/1IYY_tgx_IHuhSq3AJ5eI5OnqOPBNLWSHKh2a30DoXe8/edit?usp=sharing"",""ระนอง!J129"")"),0)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IFERROR(__xludf.DUMMYFUNCTION("IMPORTRANGE(""https://docs.google.com/spreadsheets/d/1IYY_tgx_IHuhSq3AJ5eI5OnqOPBNLWSHKh2a30DoXe8/edit?usp=sharing"",""ระนอง!J134"")"),0)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IFERROR(__xludf.DUMMYFUNCTION("IMPORTRANGE(""https://docs.google.com/spreadsheets/d/1IYY_tgx_IHuhSq3AJ5eI5OnqOPBNLWSHKh2a30DoXe8/edit?usp=sharing"",""ระนอง!J135"")"),0)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IFERROR(__xludf.DUMMYFUNCTION("IMPORTRANGE(""https://docs.google.com/spreadsheets/d/1IYY_tgx_IHuhSq3AJ5eI5OnqOPBNLWSHKh2a30DoXe8/edit?usp=sharing"",""ระนอง!J136"")"),0)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IFERROR(__xludf.DUMMYFUNCTION("IMPORTRANGE(""https://docs.google.com/spreadsheets/d/1IYY_tgx_IHuhSq3AJ5eI5OnqOPBNLWSHKh2a30DoXe8/edit?usp=sharing"",""ระนอง!J137"")"),0)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IFERROR(__xludf.DUMMYFUNCTION("IMPORTRANGE(""https://docs.google.com/spreadsheets/d/1IYY_tgx_IHuhSq3AJ5eI5OnqOPBNLWSHKh2a30DoXe8/edit?usp=sharing"",""ระนอง!I138"")"),0)</f>
        <v>0</v>
      </c>
      <c r="J213" s="210">
        <f ca="1">IFERROR(__xludf.DUMMYFUNCTION("IMPORTRANGE(""https://docs.google.com/spreadsheets/d/1IYY_tgx_IHuhSq3AJ5eI5OnqOPBNLWSHKh2a30DoXe8/edit?usp=sharing"",""ระนอง!J138"")"),0)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IFERROR(__xludf.DUMMYFUNCTION("IMPORTRANGE(""https://docs.google.com/spreadsheets/d/1IYY_tgx_IHuhSq3AJ5eI5OnqOPBNLWSHKh2a30DoXe8/edit?usp=sharing"",""ระนอง!I140"")"),0)</f>
        <v>0</v>
      </c>
      <c r="J215" s="210">
        <f ca="1">IFERROR(__xludf.DUMMYFUNCTION("IMPORTRANGE(""https://docs.google.com/spreadsheets/d/1IYY_tgx_IHuhSq3AJ5eI5OnqOPBNLWSHKh2a30DoXe8/edit?usp=sharing"",""ระนอง!J140"")"),0)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IFERROR(__xludf.DUMMYFUNCTION("IMPORTRANGE(""https://docs.google.com/spreadsheets/d/1IYY_tgx_IHuhSq3AJ5eI5OnqOPBNLWSHKh2a30DoXe8/edit?usp=sharing"",""ระนอง!I141"")"),0)</f>
        <v>0</v>
      </c>
      <c r="J216" s="210">
        <f ca="1">IFERROR(__xludf.DUMMYFUNCTION("IMPORTRANGE(""https://docs.google.com/spreadsheets/d/1IYY_tgx_IHuhSq3AJ5eI5OnqOPBNLWSHKh2a30DoXe8/edit?usp=sharing"",""ระนอง!J141"")"),0)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IFERROR(__xludf.DUMMYFUNCTION("IMPORTRANGE(""https://docs.google.com/spreadsheets/d/1IYY_tgx_IHuhSq3AJ5eI5OnqOPBNLWSHKh2a30DoXe8/edit?usp=sharing"",""ระนอง!J142"")"),0)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IFERROR(__xludf.DUMMYFUNCTION("IMPORTRANGE(""https://docs.google.com/spreadsheets/d/1IYY_tgx_IHuhSq3AJ5eI5OnqOPBNLWSHKh2a30DoXe8/edit?usp=sharing"",""ระนอง!J143"")"),0)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IFERROR(__xludf.DUMMYFUNCTION("IMPORTRANGE(""https://docs.google.com/spreadsheets/d/1IYY_tgx_IHuhSq3AJ5eI5OnqOPBNLWSHKh2a30DoXe8/edit?usp=sharing"",""ระนอง!I144"")"),13)</f>
        <v>13</v>
      </c>
      <c r="J219" s="273">
        <f ca="1">IFERROR(__xludf.DUMMYFUNCTION("IMPORTRANGE(""https://docs.google.com/spreadsheets/d/1IYY_tgx_IHuhSq3AJ5eI5OnqOPBNLWSHKh2a30DoXe8/edit?usp=sharing"",""ระนอง!J144"")"),13)</f>
        <v>13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2" t="s">
        <v>17</v>
      </c>
      <c r="E220" s="573"/>
      <c r="F220" s="573"/>
      <c r="G220" s="573"/>
      <c r="H220" s="153" t="s">
        <v>12</v>
      </c>
      <c r="I220" s="166"/>
      <c r="J220" s="166"/>
      <c r="K220" s="167"/>
      <c r="L220" s="156">
        <f t="shared" ref="L220:N220" ca="1" si="72">L221+L222</f>
        <v>19295</v>
      </c>
      <c r="M220" s="156">
        <f t="shared" ca="1" si="72"/>
        <v>19295</v>
      </c>
      <c r="N220" s="156">
        <f t="shared" ca="1" si="72"/>
        <v>19295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19295</v>
      </c>
      <c r="M222" s="161">
        <f t="shared" ca="1" si="76"/>
        <v>19295</v>
      </c>
      <c r="N222" s="161">
        <f t="shared" ca="1" si="76"/>
        <v>19295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3">
      <c r="A223" s="162"/>
      <c r="B223" s="163"/>
      <c r="C223" s="163" t="s">
        <v>16</v>
      </c>
      <c r="D223" s="574" t="s">
        <v>20</v>
      </c>
      <c r="E223" s="575"/>
      <c r="F223" s="575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19295</v>
      </c>
      <c r="M224" s="173">
        <f ca="1">IFERROR(__xludf.DUMMYFUNCTION("IMPORTRANGE(""https://docs.google.com/spreadsheets/d/1Yj_ptqi66GCucihVvJfMjLAmec39IyEx_6qawtMGysU/edit?usp=sharing"",""สบก!BS91"")"),19295)</f>
        <v>19295</v>
      </c>
      <c r="N224" s="174">
        <f ca="1">IFERROR(__xludf.DUMMYFUNCTION("IMPORTRANGE(""https://docs.google.com/spreadsheets/d/1Yj_ptqi66GCucihVvJfMjLAmec39IyEx_6qawtMGysU/edit?usp=sharing"",""สบก!BT91"")"),19295)</f>
        <v>19295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IFERROR(__xludf.DUMMYFUNCTION("IMPORTRANGE(""https://docs.google.com/spreadsheets/d/1Yj_ptqi66GCucihVvJfMjLAmec39IyEx_6qawtMGysU/edit?usp=sharing"",""สบก!BO91"")"),0)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IFERROR(__xludf.DUMMYFUNCTION("IMPORTRANGE(""https://docs.google.com/spreadsheets/d/1Yj_ptqi66GCucihVvJfMjLAmec39IyEx_6qawtMGysU/edit?usp=sharing"",""สบก!BP91"")"),19295)</f>
        <v>19295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6" t="s">
        <v>23</v>
      </c>
      <c r="E227" s="575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IFERROR(__xludf.DUMMYFUNCTION("IMPORTRANGE(""https://docs.google.com/spreadsheets/d/1Yj_ptqi66GCucihVvJfMjLAmec39IyEx_6qawtMGysU/edit?usp=sharing"",""สบก!BQ91"")"),0)</f>
        <v>0</v>
      </c>
      <c r="M228" s="101"/>
      <c r="N228" s="91">
        <f ca="1">IFERROR(__xludf.DUMMYFUNCTION("IMPORTRANGE(""https://docs.google.com/spreadsheets/d/1Yj_ptqi66GCucihVvJfMjLAmec39IyEx_6qawtMGysU/edit?usp=sharing"",""สบก!BU91"")"),0)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IFERROR(__xludf.DUMMYFUNCTION("IMPORTRANGE(""https://docs.google.com/spreadsheets/d/1IYY_tgx_IHuhSq3AJ5eI5OnqOPBNLWSHKh2a30DoXe8/edit?usp=sharing"",""ระนอง!I149"")"),13)</f>
        <v>13</v>
      </c>
      <c r="J229" s="273">
        <f ca="1">IFERROR(__xludf.DUMMYFUNCTION("IMPORTRANGE(""https://docs.google.com/spreadsheets/d/1IYY_tgx_IHuhSq3AJ5eI5OnqOPBNLWSHKh2a30DoXe8/edit?usp=sharing"",""ระนอง!J149"")"),13)</f>
        <v>13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IFERROR(__xludf.DUMMYFUNCTION("IMPORTRANGE(""https://docs.google.com/spreadsheets/d/1IYY_tgx_IHuhSq3AJ5eI5OnqOPBNLWSHKh2a30DoXe8/edit?usp=sharing"",""ระนอง!J151"")"),0)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IFERROR(__xludf.DUMMYFUNCTION("IMPORTRANGE(""https://docs.google.com/spreadsheets/d/1IYY_tgx_IHuhSq3AJ5eI5OnqOPBNLWSHKh2a30DoXe8/edit?usp=sharing"",""ระนอง!J152"")"),1)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IFERROR(__xludf.DUMMYFUNCTION("IMPORTRANGE(""https://docs.google.com/spreadsheets/d/1IYY_tgx_IHuhSq3AJ5eI5OnqOPBNLWSHKh2a30DoXe8/edit?usp=sharing"",""ระนอง!J153"")"),1)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IFERROR(__xludf.DUMMYFUNCTION("IMPORTRANGE(""https://docs.google.com/spreadsheets/d/1IYY_tgx_IHuhSq3AJ5eI5OnqOPBNLWSHKh2a30DoXe8/edit?usp=sharing"",""ระนอง!J154"")"),1)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IFERROR(__xludf.DUMMYFUNCTION("IMPORTRANGE(""https://docs.google.com/spreadsheets/d/1IYY_tgx_IHuhSq3AJ5eI5OnqOPBNLWSHKh2a30DoXe8/edit?usp=sharing"",""ระนอง!I155"")"),13)</f>
        <v>13</v>
      </c>
      <c r="J235" s="195">
        <f ca="1">IFERROR(__xludf.DUMMYFUNCTION("IMPORTRANGE(""https://docs.google.com/spreadsheets/d/1IYY_tgx_IHuhSq3AJ5eI5OnqOPBNLWSHKh2a30DoXe8/edit?usp=sharing"",""ระนอง!J155"")"),13)</f>
        <v>13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IFERROR(__xludf.DUMMYFUNCTION("IMPORTRANGE(""https://docs.google.com/spreadsheets/d/1IYY_tgx_IHuhSq3AJ5eI5OnqOPBNLWSHKh2a30DoXe8/edit?usp=sharing"",""ระนอง!J156"")"),0)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IFERROR(__xludf.DUMMYFUNCTION("IMPORTRANGE(""https://docs.google.com/spreadsheets/d/1IYY_tgx_IHuhSq3AJ5eI5OnqOPBNLWSHKh2a30DoXe8/edit?usp=sharing"",""ระนอง!J157"")"),0)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IFERROR(__xludf.DUMMYFUNCTION("IMPORTRANGE(""https://docs.google.com/spreadsheets/d/1IYY_tgx_IHuhSq3AJ5eI5OnqOPBNLWSHKh2a30DoXe8/edit?usp=sharing"",""ระนอง!I158"")"),0)</f>
        <v>0</v>
      </c>
      <c r="J238" s="273">
        <f ca="1">IFERROR(__xludf.DUMMYFUNCTION("IMPORTRANGE(""https://docs.google.com/spreadsheets/d/1IYY_tgx_IHuhSq3AJ5eI5OnqOPBNLWSHKh2a30DoXe8/edit?usp=sharing"",""ระนอง!J158"")"),0)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IFERROR(__xludf.DUMMYFUNCTION("IMPORTRANGE(""https://docs.google.com/spreadsheets/d/1IYY_tgx_IHuhSq3AJ5eI5OnqOPBNLWSHKh2a30DoXe8/edit?usp=sharing"",""ระนอง!J159"")"),"")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IFERROR(__xludf.DUMMYFUNCTION("IMPORTRANGE(""https://docs.google.com/spreadsheets/d/1IYY_tgx_IHuhSq3AJ5eI5OnqOPBNLWSHKh2a30DoXe8/edit?usp=sharing"",""ระนอง!J161"")"),0)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IFERROR(__xludf.DUMMYFUNCTION("IMPORTRANGE(""https://docs.google.com/spreadsheets/d/1IYY_tgx_IHuhSq3AJ5eI5OnqOPBNLWSHKh2a30DoXe8/edit?usp=sharing"",""ระนอง!J162"")"),0)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IFERROR(__xludf.DUMMYFUNCTION("IMPORTRANGE(""https://docs.google.com/spreadsheets/d/1IYY_tgx_IHuhSq3AJ5eI5OnqOPBNLWSHKh2a30DoXe8/edit?usp=sharing"",""ระนอง!J163"")"),0)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IFERROR(__xludf.DUMMYFUNCTION("IMPORTRANGE(""https://docs.google.com/spreadsheets/d/1IYY_tgx_IHuhSq3AJ5eI5OnqOPBNLWSHKh2a30DoXe8/edit?usp=sharing"",""ระนอง!I164"")"),0)</f>
        <v>0</v>
      </c>
      <c r="J244" s="194">
        <f ca="1">IFERROR(__xludf.DUMMYFUNCTION("IMPORTRANGE(""https://docs.google.com/spreadsheets/d/1IYY_tgx_IHuhSq3AJ5eI5OnqOPBNLWSHKh2a30DoXe8/edit?usp=sharing"",""ระนอง!J164"")"),0)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IFERROR(__xludf.DUMMYFUNCTION("IMPORTRANGE(""https://docs.google.com/spreadsheets/d/1IYY_tgx_IHuhSq3AJ5eI5OnqOPBNLWSHKh2a30DoXe8/edit?usp=sharing"",""ระนอง!J165"")"),0)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IFERROR(__xludf.DUMMYFUNCTION("IMPORTRANGE(""https://docs.google.com/spreadsheets/d/1IYY_tgx_IHuhSq3AJ5eI5OnqOPBNLWSHKh2a30DoXe8/edit?usp=sharing"",""ระนอง!J166"")"),0)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IFERROR(__xludf.DUMMYFUNCTION("IMPORTRANGE(""https://docs.google.com/spreadsheets/d/1IYY_tgx_IHuhSq3AJ5eI5OnqOPBNLWSHKh2a30DoXe8/edit?usp=sharing"",""ระนอง!I169"")"),0)</f>
        <v>0</v>
      </c>
      <c r="J249" s="322">
        <f ca="1">IFERROR(__xludf.DUMMYFUNCTION("IMPORTRANGE(""https://docs.google.com/spreadsheets/d/1IYY_tgx_IHuhSq3AJ5eI5OnqOPBNLWSHKh2a30DoXe8/edit?usp=sharing"",""ระนอง!J169"")"),0)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2" t="s">
        <v>17</v>
      </c>
      <c r="E250" s="573"/>
      <c r="F250" s="573"/>
      <c r="G250" s="573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3">
      <c r="A253" s="162"/>
      <c r="B253" s="163"/>
      <c r="C253" s="163" t="s">
        <v>16</v>
      </c>
      <c r="D253" s="574" t="s">
        <v>20</v>
      </c>
      <c r="E253" s="575"/>
      <c r="F253" s="575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IFERROR(__xludf.DUMMYFUNCTION("IMPORTRANGE(""https://docs.google.com/spreadsheets/d/1Yj_ptqi66GCucihVvJfMjLAmec39IyEx_6qawtMGysU/edit?usp=sharing"",""สบก!CB91"")"),0)</f>
        <v>0</v>
      </c>
      <c r="N254" s="174">
        <f ca="1">IFERROR(__xludf.DUMMYFUNCTION("IMPORTRANGE(""https://docs.google.com/spreadsheets/d/1Yj_ptqi66GCucihVvJfMjLAmec39IyEx_6qawtMGysU/edit?usp=sharing"",""สบก!CC91"")"),0)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IFERROR(__xludf.DUMMYFUNCTION("IMPORTRANGE(""https://docs.google.com/spreadsheets/d/1Yj_ptqi66GCucihVvJfMjLAmec39IyEx_6qawtMGysU/edit?usp=sharing"",""สบก!BX91"")"),0)</f>
        <v>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IFERROR(__xludf.DUMMYFUNCTION("IMPORTRANGE(""https://docs.google.com/spreadsheets/d/1Yj_ptqi66GCucihVvJfMjLAmec39IyEx_6qawtMGysU/edit?usp=sharing"",""สบก!BY91"")"),0)</f>
        <v>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6" t="s">
        <v>23</v>
      </c>
      <c r="E257" s="575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IFERROR(__xludf.DUMMYFUNCTION("IMPORTRANGE(""https://docs.google.com/spreadsheets/d/1Yj_ptqi66GCucihVvJfMjLAmec39IyEx_6qawtMGysU/edit?usp=sharing"",""สบก!BZ91"")"),0)</f>
        <v>0</v>
      </c>
      <c r="M258" s="101"/>
      <c r="N258" s="91">
        <f ca="1">IFERROR(__xludf.DUMMYFUNCTION("IMPORTRANGE(""https://docs.google.com/spreadsheets/d/1Yj_ptqi66GCucihVvJfMjLAmec39IyEx_6qawtMGysU/edit?usp=sharing"",""สบก!CD91"")"),0)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IFERROR(__xludf.DUMMYFUNCTION("IMPORTRANGE(""https://docs.google.com/spreadsheets/d/1IYY_tgx_IHuhSq3AJ5eI5OnqOPBNLWSHKh2a30DoXe8/edit?usp=sharing"",""ระนอง!J175"")"),0)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IFERROR(__xludf.DUMMYFUNCTION("IMPORTRANGE(""https://docs.google.com/spreadsheets/d/1IYY_tgx_IHuhSq3AJ5eI5OnqOPBNLWSHKh2a30DoXe8/edit?usp=sharing"",""ระนอง!J176"")"),0)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IFERROR(__xludf.DUMMYFUNCTION("IMPORTRANGE(""https://docs.google.com/spreadsheets/d/1IYY_tgx_IHuhSq3AJ5eI5OnqOPBNLWSHKh2a30DoXe8/edit?usp=sharing"",""ระนอง!J177"")"),0)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IFERROR(__xludf.DUMMYFUNCTION("IMPORTRANGE(""https://docs.google.com/spreadsheets/d/1IYY_tgx_IHuhSq3AJ5eI5OnqOPBNLWSHKh2a30DoXe8/edit?usp=sharing"",""ระนอง!J178"")"),0)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IFERROR(__xludf.DUMMYFUNCTION("IMPORTRANGE(""https://docs.google.com/spreadsheets/d/1IYY_tgx_IHuhSq3AJ5eI5OnqOPBNLWSHKh2a30DoXe8/edit?usp=sharing"",""ระนอง!I179"")"),0)</f>
        <v>0</v>
      </c>
      <c r="J264" s="195">
        <f ca="1">IFERROR(__xludf.DUMMYFUNCTION("IMPORTRANGE(""https://docs.google.com/spreadsheets/d/1IYY_tgx_IHuhSq3AJ5eI5OnqOPBNLWSHKh2a30DoXe8/edit?usp=sharing"",""ระนอง!J179"")"),0)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IFERROR(__xludf.DUMMYFUNCTION("IMPORTRANGE(""https://docs.google.com/spreadsheets/d/1IYY_tgx_IHuhSq3AJ5eI5OnqOPBNLWSHKh2a30DoXe8/edit?usp=sharing"",""ระนอง!I180"")"),0)</f>
        <v>0</v>
      </c>
      <c r="J265" s="195">
        <f ca="1">IFERROR(__xludf.DUMMYFUNCTION("IMPORTRANGE(""https://docs.google.com/spreadsheets/d/1IYY_tgx_IHuhSq3AJ5eI5OnqOPBNLWSHKh2a30DoXe8/edit?usp=sharing"",""ระนอง!J180"")"),0)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IFERROR(__xludf.DUMMYFUNCTION("IMPORTRANGE(""https://docs.google.com/spreadsheets/d/1IYY_tgx_IHuhSq3AJ5eI5OnqOPBNLWSHKh2a30DoXe8/edit?usp=sharing"",""ระนอง!I181"")"),0)</f>
        <v>0</v>
      </c>
      <c r="J266" s="195">
        <f ca="1">IFERROR(__xludf.DUMMYFUNCTION("IMPORTRANGE(""https://docs.google.com/spreadsheets/d/1IYY_tgx_IHuhSq3AJ5eI5OnqOPBNLWSHKh2a30DoXe8/edit?usp=sharing"",""ระนอง!J181"")"),0)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IFERROR(__xludf.DUMMYFUNCTION("IMPORTRANGE(""https://docs.google.com/spreadsheets/d/1IYY_tgx_IHuhSq3AJ5eI5OnqOPBNLWSHKh2a30DoXe8/edit?usp=sharing"",""ระนอง!I182"")"),0)</f>
        <v>0</v>
      </c>
      <c r="J267" s="195">
        <f ca="1">IFERROR(__xludf.DUMMYFUNCTION("IMPORTRANGE(""https://docs.google.com/spreadsheets/d/1IYY_tgx_IHuhSq3AJ5eI5OnqOPBNLWSHKh2a30DoXe8/edit?usp=sharing"",""ระนอง!J182"")"),0)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IFERROR(__xludf.DUMMYFUNCTION("IMPORTRANGE(""https://docs.google.com/spreadsheets/d/1IYY_tgx_IHuhSq3AJ5eI5OnqOPBNLWSHKh2a30DoXe8/edit?usp=sharing"",""ระนอง!J183"")"),0)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IFERROR(__xludf.DUMMYFUNCTION("IMPORTRANGE(""https://docs.google.com/spreadsheets/d/1IYY_tgx_IHuhSq3AJ5eI5OnqOPBNLWSHKh2a30DoXe8/edit?usp=sharing"",""ระนอง!J184"")"),0)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IFERROR(__xludf.DUMMYFUNCTION("IMPORTRANGE(""https://docs.google.com/spreadsheets/d/1IYY_tgx_IHuhSq3AJ5eI5OnqOPBNLWSHKh2a30DoXe8/edit?usp=sharing"",""ระนอง!I185"")"),0)</f>
        <v>0</v>
      </c>
      <c r="J270" s="322">
        <f ca="1">IFERROR(__xludf.DUMMYFUNCTION("IMPORTRANGE(""https://docs.google.com/spreadsheets/d/1IYY_tgx_IHuhSq3AJ5eI5OnqOPBNLWSHKh2a30DoXe8/edit?usp=sharing"",""ระนอง!J185"")"),0)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2" t="s">
        <v>17</v>
      </c>
      <c r="E271" s="573"/>
      <c r="F271" s="573"/>
      <c r="G271" s="573"/>
      <c r="H271" s="153" t="s">
        <v>12</v>
      </c>
      <c r="I271" s="166"/>
      <c r="J271" s="166"/>
      <c r="K271" s="167"/>
      <c r="L271" s="156">
        <f t="shared" ref="L271:N271" ca="1" si="83">L272+L273</f>
        <v>0</v>
      </c>
      <c r="M271" s="156">
        <f t="shared" ca="1" si="83"/>
        <v>0</v>
      </c>
      <c r="N271" s="156">
        <f t="shared" ca="1" si="83"/>
        <v>0</v>
      </c>
      <c r="O271" s="155">
        <f t="shared" ref="O271:O273" ca="1" si="84">IF(L271&gt;0,N271*100/L271,0)</f>
        <v>0</v>
      </c>
      <c r="P271" s="155">
        <f t="shared" ref="P271:P273" ca="1" si="85">IF(M271&gt;0,N271*100/M271,0)</f>
        <v>0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0</v>
      </c>
      <c r="M273" s="161">
        <f t="shared" ca="1" si="87"/>
        <v>0</v>
      </c>
      <c r="N273" s="161">
        <f t="shared" ca="1" si="87"/>
        <v>0</v>
      </c>
      <c r="O273" s="160">
        <f t="shared" ca="1" si="84"/>
        <v>0</v>
      </c>
      <c r="P273" s="160">
        <f t="shared" ca="1" si="85"/>
        <v>0</v>
      </c>
    </row>
    <row r="274" spans="1:16" ht="21.75" customHeight="1" x14ac:dyDescent="0.3">
      <c r="A274" s="162"/>
      <c r="B274" s="163"/>
      <c r="C274" s="163" t="s">
        <v>16</v>
      </c>
      <c r="D274" s="574" t="s">
        <v>20</v>
      </c>
      <c r="E274" s="575"/>
      <c r="F274" s="575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0</v>
      </c>
      <c r="M275" s="173">
        <f ca="1">IFERROR(__xludf.DUMMYFUNCTION("IMPORTRANGE(""https://docs.google.com/spreadsheets/d/1Yj_ptqi66GCucihVvJfMjLAmec39IyEx_6qawtMGysU/edit?usp=sharing"",""สบก!CK91"")"),0)</f>
        <v>0</v>
      </c>
      <c r="N275" s="174">
        <f ca="1">IFERROR(__xludf.DUMMYFUNCTION("IMPORTRANGE(""https://docs.google.com/spreadsheets/d/1Yj_ptqi66GCucihVvJfMjLAmec39IyEx_6qawtMGysU/edit?usp=sharing"",""สบก!CL91"")"),0)</f>
        <v>0</v>
      </c>
      <c r="O275" s="175">
        <f ca="1">IF(L275&gt;0,N275*100/L275,0)</f>
        <v>0</v>
      </c>
      <c r="P275" s="175">
        <f ca="1">IF(M275&gt;0,N275*100/M275,0)</f>
        <v>0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IFERROR(__xludf.DUMMYFUNCTION("IMPORTRANGE(""https://docs.google.com/spreadsheets/d/1Yj_ptqi66GCucihVvJfMjLAmec39IyEx_6qawtMGysU/edit?usp=sharing"",""สบก!CG91"")"),0)</f>
        <v>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IFERROR(__xludf.DUMMYFUNCTION("IMPORTRANGE(""https://docs.google.com/spreadsheets/d/1Yj_ptqi66GCucihVvJfMjLAmec39IyEx_6qawtMGysU/edit?usp=sharing"",""สบก!CH91"")"),0)</f>
        <v>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6" t="s">
        <v>23</v>
      </c>
      <c r="E278" s="575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IFERROR(__xludf.DUMMYFUNCTION("IMPORTRANGE(""https://docs.google.com/spreadsheets/d/1Yj_ptqi66GCucihVvJfMjLAmec39IyEx_6qawtMGysU/edit?usp=sharing"",""สบก!CI91"")"),0)</f>
        <v>0</v>
      </c>
      <c r="M279" s="101"/>
      <c r="N279" s="91">
        <f ca="1">IFERROR(__xludf.DUMMYFUNCTION("IMPORTRANGE(""https://docs.google.com/spreadsheets/d/1Yj_ptqi66GCucihVvJfMjLAmec39IyEx_6qawtMGysU/edit?usp=sharing"",""สบก!CM91"")"),0)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IFERROR(__xludf.DUMMYFUNCTION("IMPORTRANGE(""https://docs.google.com/spreadsheets/d/1IYY_tgx_IHuhSq3AJ5eI5OnqOPBNLWSHKh2a30DoXe8/edit?usp=sharing"",""ระนอง!J191"")"),0)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IFERROR(__xludf.DUMMYFUNCTION("IMPORTRANGE(""https://docs.google.com/spreadsheets/d/1IYY_tgx_IHuhSq3AJ5eI5OnqOPBNLWSHKh2a30DoXe8/edit?usp=sharing"",""ระนอง!J192"")"),0)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IFERROR(__xludf.DUMMYFUNCTION("IMPORTRANGE(""https://docs.google.com/spreadsheets/d/1IYY_tgx_IHuhSq3AJ5eI5OnqOPBNLWSHKh2a30DoXe8/edit?usp=sharing"",""ระนอง!J193"")"),0)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IFERROR(__xludf.DUMMYFUNCTION("IMPORTRANGE(""https://docs.google.com/spreadsheets/d/1IYY_tgx_IHuhSq3AJ5eI5OnqOPBNLWSHKh2a30DoXe8/edit?usp=sharing"",""ระนอง!J194"")"),0)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IFERROR(__xludf.DUMMYFUNCTION("IMPORTRANGE(""https://docs.google.com/spreadsheets/d/1IYY_tgx_IHuhSq3AJ5eI5OnqOPBNLWSHKh2a30DoXe8/edit?usp=sharing"",""ระนอง!I195"")"),0)</f>
        <v>0</v>
      </c>
      <c r="J285" s="195">
        <f ca="1">IFERROR(__xludf.DUMMYFUNCTION("IMPORTRANGE(""https://docs.google.com/spreadsheets/d/1IYY_tgx_IHuhSq3AJ5eI5OnqOPBNLWSHKh2a30DoXe8/edit?usp=sharing"",""ระนอง!J195"")"),0)</f>
        <v>0</v>
      </c>
      <c r="K285" s="167">
        <f ca="1">IF(I285&gt;0,J285*100/I285,0)</f>
        <v>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IFERROR(__xludf.DUMMYFUNCTION("IMPORTRANGE(""https://docs.google.com/spreadsheets/d/1IYY_tgx_IHuhSq3AJ5eI5OnqOPBNLWSHKh2a30DoXe8/edit?usp=sharing"",""ระนอง!J196"")"),0)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IFERROR(__xludf.DUMMYFUNCTION("IMPORTRANGE(""https://docs.google.com/spreadsheets/d/1IYY_tgx_IHuhSq3AJ5eI5OnqOPBNLWSHKh2a30DoXe8/edit?usp=sharing"",""ระนอง!J197"")"),0)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IFERROR(__xludf.DUMMYFUNCTION("IMPORTRANGE(""https://docs.google.com/spreadsheets/d/1IYY_tgx_IHuhSq3AJ5eI5OnqOPBNLWSHKh2a30DoXe8/edit?usp=sharing"",""ระนอง!I199"")"),0)</f>
        <v>0</v>
      </c>
      <c r="J289" s="322">
        <f ca="1">IFERROR(__xludf.DUMMYFUNCTION("IMPORTRANGE(""https://docs.google.com/spreadsheets/d/1IYY_tgx_IHuhSq3AJ5eI5OnqOPBNLWSHKh2a30DoXe8/edit?usp=sharing"",""ระนอง!J199"")"),0)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2" t="s">
        <v>17</v>
      </c>
      <c r="E290" s="573"/>
      <c r="F290" s="573"/>
      <c r="G290" s="573"/>
      <c r="H290" s="153" t="s">
        <v>12</v>
      </c>
      <c r="I290" s="194"/>
      <c r="J290" s="194"/>
      <c r="K290" s="230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3">
      <c r="A293" s="162"/>
      <c r="B293" s="163"/>
      <c r="C293" s="163" t="s">
        <v>16</v>
      </c>
      <c r="D293" s="574" t="s">
        <v>20</v>
      </c>
      <c r="E293" s="575"/>
      <c r="F293" s="575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IFERROR(__xludf.DUMMYFUNCTION("IMPORTRANGE(""https://docs.google.com/spreadsheets/d/1Yj_ptqi66GCucihVvJfMjLAmec39IyEx_6qawtMGysU/edit?usp=sharing"",""สบก!CT91"")"),0)</f>
        <v>0</v>
      </c>
      <c r="N294" s="174">
        <f ca="1">IFERROR(__xludf.DUMMYFUNCTION("IMPORTRANGE(""https://docs.google.com/spreadsheets/d/1Yj_ptqi66GCucihVvJfMjLAmec39IyEx_6qawtMGysU/edit?usp=sharing"",""สบก!CU91"")"),0)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IFERROR(__xludf.DUMMYFUNCTION("IMPORTRANGE(""https://docs.google.com/spreadsheets/d/1Yj_ptqi66GCucihVvJfMjLAmec39IyEx_6qawtMGysU/edit?usp=sharing"",""สบก!CP91"")"),0)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IFERROR(__xludf.DUMMYFUNCTION("IMPORTRANGE(""https://docs.google.com/spreadsheets/d/1Yj_ptqi66GCucihVvJfMjLAmec39IyEx_6qawtMGysU/edit?usp=sharing"",""สบก!CQ91"")"),0)</f>
        <v>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6" t="s">
        <v>23</v>
      </c>
      <c r="E297" s="575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IFERROR(__xludf.DUMMYFUNCTION("IMPORTRANGE(""https://docs.google.com/spreadsheets/d/1Yj_ptqi66GCucihVvJfMjLAmec39IyEx_6qawtMGysU/edit?usp=sharing"",""สบก!CR91"")"),0)</f>
        <v>0</v>
      </c>
      <c r="M298" s="101"/>
      <c r="N298" s="91">
        <f ca="1">IFERROR(__xludf.DUMMYFUNCTION("IMPORTRANGE(""https://docs.google.com/spreadsheets/d/1Yj_ptqi66GCucihVvJfMjLAmec39IyEx_6qawtMGysU/edit?usp=sharing"",""สบก!CV91"")"),0)</f>
        <v>0</v>
      </c>
      <c r="O298" s="101">
        <f ca="1">IF(L298&gt;0,N298*100/L298,0)</f>
        <v>0</v>
      </c>
      <c r="P298" s="101"/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IFERROR(__xludf.DUMMYFUNCTION("IMPORTRANGE(""https://docs.google.com/spreadsheets/d/1IYY_tgx_IHuhSq3AJ5eI5OnqOPBNLWSHKh2a30DoXe8/edit?usp=sharing"",""ระนอง!J205"")"),0)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IFERROR(__xludf.DUMMYFUNCTION("IMPORTRANGE(""https://docs.google.com/spreadsheets/d/1IYY_tgx_IHuhSq3AJ5eI5OnqOPBNLWSHKh2a30DoXe8/edit?usp=sharing"",""ระนอง!J206"")"),0)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IFERROR(__xludf.DUMMYFUNCTION("IMPORTRANGE(""https://docs.google.com/spreadsheets/d/1IYY_tgx_IHuhSq3AJ5eI5OnqOPBNLWSHKh2a30DoXe8/edit?usp=sharing"",""ระนอง!J207"")"),0)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IFERROR(__xludf.DUMMYFUNCTION("IMPORTRANGE(""https://docs.google.com/spreadsheets/d/1IYY_tgx_IHuhSq3AJ5eI5OnqOPBNLWSHKh2a30DoXe8/edit?usp=sharing"",""ระนอง!J208"")"),0)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IFERROR(__xludf.DUMMYFUNCTION("IMPORTRANGE(""https://docs.google.com/spreadsheets/d/1IYY_tgx_IHuhSq3AJ5eI5OnqOPBNLWSHKh2a30DoXe8/edit?usp=sharing"",""ระนอง!I209"")"),0)</f>
        <v>0</v>
      </c>
      <c r="J304" s="210">
        <f ca="1">IFERROR(__xludf.DUMMYFUNCTION("IMPORTRANGE(""https://docs.google.com/spreadsheets/d/1IYY_tgx_IHuhSq3AJ5eI5OnqOPBNLWSHKh2a30DoXe8/edit?usp=sharing"",""ระนอง!J209"")"),0)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IFERROR(__xludf.DUMMYFUNCTION("IMPORTRANGE(""https://docs.google.com/spreadsheets/d/1IYY_tgx_IHuhSq3AJ5eI5OnqOPBNLWSHKh2a30DoXe8/edit?usp=sharing"",""ระนอง!I211"")"),0)</f>
        <v>0</v>
      </c>
      <c r="J306" s="210">
        <f ca="1">IFERROR(__xludf.DUMMYFUNCTION("IMPORTRANGE(""https://docs.google.com/spreadsheets/d/1IYY_tgx_IHuhSq3AJ5eI5OnqOPBNLWSHKh2a30DoXe8/edit?usp=sharing"",""ระนอง!J211"")"),0)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IFERROR(__xludf.DUMMYFUNCTION("IMPORTRANGE(""https://docs.google.com/spreadsheets/d/1IYY_tgx_IHuhSq3AJ5eI5OnqOPBNLWSHKh2a30DoXe8/edit?usp=sharing"",""ระนอง!J212"")"),0)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IFERROR(__xludf.DUMMYFUNCTION("IMPORTRANGE(""https://docs.google.com/spreadsheets/d/1IYY_tgx_IHuhSq3AJ5eI5OnqOPBNLWSHKh2a30DoXe8/edit?usp=sharing"",""ระนอง!J213"")"),0)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IFERROR(__xludf.DUMMYFUNCTION("IMPORTRANGE(""https://docs.google.com/spreadsheets/d/1IYY_tgx_IHuhSq3AJ5eI5OnqOPBNLWSHKh2a30DoXe8/edit?usp=sharing"",""ระนอง!I214"")"),0)</f>
        <v>0</v>
      </c>
      <c r="J309" s="339">
        <f ca="1">IFERROR(__xludf.DUMMYFUNCTION("IMPORTRANGE(""https://docs.google.com/spreadsheets/d/1IYY_tgx_IHuhSq3AJ5eI5OnqOPBNLWSHKh2a30DoXe8/edit?usp=sharing"",""ระนอง!J214"")"),0)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2" t="s">
        <v>17</v>
      </c>
      <c r="E310" s="573"/>
      <c r="F310" s="573"/>
      <c r="G310" s="573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3">
      <c r="A313" s="162"/>
      <c r="B313" s="163"/>
      <c r="C313" s="163" t="s">
        <v>16</v>
      </c>
      <c r="D313" s="574" t="s">
        <v>20</v>
      </c>
      <c r="E313" s="575"/>
      <c r="F313" s="575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IFERROR(__xludf.DUMMYFUNCTION("IMPORTRANGE(""https://docs.google.com/spreadsheets/d/1Yj_ptqi66GCucihVvJfMjLAmec39IyEx_6qawtMGysU/edit?usp=sharing"",""สบก!DC91"")"),0)</f>
        <v>0</v>
      </c>
      <c r="N314" s="174">
        <f ca="1">IFERROR(__xludf.DUMMYFUNCTION("IMPORTRANGE(""https://docs.google.com/spreadsheets/d/1Yj_ptqi66GCucihVvJfMjLAmec39IyEx_6qawtMGysU/edit?usp=sharing"",""สบก!DD91"")"),0)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IFERROR(__xludf.DUMMYFUNCTION("IMPORTRANGE(""https://docs.google.com/spreadsheets/d/1Yj_ptqi66GCucihVvJfMjLAmec39IyEx_6qawtMGysU/edit?usp=sharing"",""สบก!CY91"")"),0)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IFERROR(__xludf.DUMMYFUNCTION("IMPORTRANGE(""https://docs.google.com/spreadsheets/d/1Yj_ptqi66GCucihVvJfMjLAmec39IyEx_6qawtMGysU/edit?usp=sharing"",""สบก!CZ91"")"),0)</f>
        <v>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6" t="s">
        <v>23</v>
      </c>
      <c r="E317" s="575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IFERROR(__xludf.DUMMYFUNCTION("IMPORTRANGE(""https://docs.google.com/spreadsheets/d/1Yj_ptqi66GCucihVvJfMjLAmec39IyEx_6qawtMGysU/edit?usp=sharing"",""สบก!DA91"")"),0)</f>
        <v>0</v>
      </c>
      <c r="M318" s="101"/>
      <c r="N318" s="91">
        <f ca="1">IFERROR(__xludf.DUMMYFUNCTION("IMPORTRANGE(""https://docs.google.com/spreadsheets/d/1Yj_ptqi66GCucihVvJfMjLAmec39IyEx_6qawtMGysU/edit?usp=sharing"",""สบก!DE91"")"),0)</f>
        <v>0</v>
      </c>
      <c r="O318" s="101">
        <f ca="1">IF(L318&gt;0,N318*100/L318,0)</f>
        <v>0</v>
      </c>
      <c r="P318" s="101"/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IFERROR(__xludf.DUMMYFUNCTION("IMPORTRANGE(""https://docs.google.com/spreadsheets/d/1IYY_tgx_IHuhSq3AJ5eI5OnqOPBNLWSHKh2a30DoXe8/edit?usp=sharing"",""ระนอง!J220"")"),0)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IFERROR(__xludf.DUMMYFUNCTION("IMPORTRANGE(""https://docs.google.com/spreadsheets/d/1IYY_tgx_IHuhSq3AJ5eI5OnqOPBNLWSHKh2a30DoXe8/edit?usp=sharing"",""ระนอง!J221"")"),0)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IFERROR(__xludf.DUMMYFUNCTION("IMPORTRANGE(""https://docs.google.com/spreadsheets/d/1IYY_tgx_IHuhSq3AJ5eI5OnqOPBNLWSHKh2a30DoXe8/edit?usp=sharing"",""ระนอง!J222"")"),0)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IFERROR(__xludf.DUMMYFUNCTION("IMPORTRANGE(""https://docs.google.com/spreadsheets/d/1IYY_tgx_IHuhSq3AJ5eI5OnqOPBNLWSHKh2a30DoXe8/edit?usp=sharing"",""ระนอง!J223"")"),0)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IFERROR(__xludf.DUMMYFUNCTION("IMPORTRANGE(""https://docs.google.com/spreadsheets/d/1IYY_tgx_IHuhSq3AJ5eI5OnqOPBNLWSHKh2a30DoXe8/edit?usp=sharing"",""ระนอง!I224"")"),0)</f>
        <v>0</v>
      </c>
      <c r="J324" s="210">
        <f ca="1">IFERROR(__xludf.DUMMYFUNCTION("IMPORTRANGE(""https://docs.google.com/spreadsheets/d/1IYY_tgx_IHuhSq3AJ5eI5OnqOPBNLWSHKh2a30DoXe8/edit?usp=sharing"",""ระนอง!J224"")"),0)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IFERROR(__xludf.DUMMYFUNCTION("IMPORTRANGE(""https://docs.google.com/spreadsheets/d/1IYY_tgx_IHuhSq3AJ5eI5OnqOPBNLWSHKh2a30DoXe8/edit?usp=sharing"",""ระนอง!J225"")"),0)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IFERROR(__xludf.DUMMYFUNCTION("IMPORTRANGE(""https://docs.google.com/spreadsheets/d/1IYY_tgx_IHuhSq3AJ5eI5OnqOPBNLWSHKh2a30DoXe8/edit?usp=sharing"",""ระนอง!J226"")"),0)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IFERROR(__xludf.DUMMYFUNCTION("IMPORTRANGE(""https://docs.google.com/spreadsheets/d/1IYY_tgx_IHuhSq3AJ5eI5OnqOPBNLWSHKh2a30DoXe8/edit?usp=sharing"",""ระนอง!I228"")"),75)</f>
        <v>75</v>
      </c>
      <c r="J328" s="345">
        <f ca="1">IFERROR(__xludf.DUMMYFUNCTION("IMPORTRANGE(""https://docs.google.com/spreadsheets/d/1IYY_tgx_IHuhSq3AJ5eI5OnqOPBNLWSHKh2a30DoXe8/edit?usp=sharing"",""ระนอง!J228"")"),87)</f>
        <v>87</v>
      </c>
      <c r="K328" s="323">
        <f ca="1">IF(I328&gt;0,J328*100/I328,0)</f>
        <v>116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2" t="s">
        <v>17</v>
      </c>
      <c r="E329" s="573"/>
      <c r="F329" s="573"/>
      <c r="G329" s="573"/>
      <c r="H329" s="153" t="s">
        <v>12</v>
      </c>
      <c r="I329" s="166"/>
      <c r="J329" s="166"/>
      <c r="K329" s="167"/>
      <c r="L329" s="156">
        <f t="shared" ref="L329:N329" ca="1" si="98">L330+L331</f>
        <v>1029350</v>
      </c>
      <c r="M329" s="156">
        <f t="shared" ca="1" si="98"/>
        <v>1064750</v>
      </c>
      <c r="N329" s="156">
        <f t="shared" ca="1" si="98"/>
        <v>904741.01</v>
      </c>
      <c r="O329" s="155">
        <f t="shared" ref="O329:O331" ca="1" si="99">IF(L329&gt;0,N329*100/L329,0)</f>
        <v>87.894400349735264</v>
      </c>
      <c r="P329" s="155">
        <f t="shared" ref="P329:P331" ca="1" si="100">IF(M329&gt;0,N329*100/M329,0)</f>
        <v>84.972154026766844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1029350</v>
      </c>
      <c r="M331" s="161">
        <f t="shared" ca="1" si="102"/>
        <v>1064750</v>
      </c>
      <c r="N331" s="161">
        <f t="shared" ca="1" si="102"/>
        <v>904741.01</v>
      </c>
      <c r="O331" s="160">
        <f t="shared" ca="1" si="99"/>
        <v>87.894400349735264</v>
      </c>
      <c r="P331" s="160">
        <f t="shared" ca="1" si="100"/>
        <v>84.972154026766844</v>
      </c>
    </row>
    <row r="332" spans="1:16" ht="21.75" customHeight="1" x14ac:dyDescent="0.3">
      <c r="A332" s="162"/>
      <c r="B332" s="163"/>
      <c r="C332" s="163" t="s">
        <v>16</v>
      </c>
      <c r="D332" s="574" t="s">
        <v>20</v>
      </c>
      <c r="E332" s="575"/>
      <c r="F332" s="575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1029350</v>
      </c>
      <c r="M333" s="173">
        <f ca="1">IFERROR(__xludf.DUMMYFUNCTION("IMPORTRANGE(""https://docs.google.com/spreadsheets/d/1Yj_ptqi66GCucihVvJfMjLAmec39IyEx_6qawtMGysU/edit?usp=sharing"",""สบก!DL91"")"),1064750)</f>
        <v>1064750</v>
      </c>
      <c r="N333" s="174">
        <f ca="1">IFERROR(__xludf.DUMMYFUNCTION("IMPORTRANGE(""https://docs.google.com/spreadsheets/d/1Yj_ptqi66GCucihVvJfMjLAmec39IyEx_6qawtMGysU/edit?usp=sharing"",""สบก!DM91"")"),904741.01)</f>
        <v>904741.01</v>
      </c>
      <c r="O333" s="175">
        <f ca="1">IF(L333&gt;0,N333*100/L333,0)</f>
        <v>87.894400349735264</v>
      </c>
      <c r="P333" s="175">
        <f ca="1">IF(M333&gt;0,N333*100/M333,0)</f>
        <v>84.972154026766844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IFERROR(__xludf.DUMMYFUNCTION("IMPORTRANGE(""https://docs.google.com/spreadsheets/d/1Yj_ptqi66GCucihVvJfMjLAmec39IyEx_6qawtMGysU/edit?usp=sharing"",""สบก!DH91"")"),777000)</f>
        <v>777000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IFERROR(__xludf.DUMMYFUNCTION("IMPORTRANGE(""https://docs.google.com/spreadsheets/d/1Yj_ptqi66GCucihVvJfMjLAmec39IyEx_6qawtMGysU/edit?usp=sharing"",""สบก!DI91"")"),252350)</f>
        <v>252350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6" t="s">
        <v>23</v>
      </c>
      <c r="E336" s="575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IFERROR(__xludf.DUMMYFUNCTION("IMPORTRANGE(""https://docs.google.com/spreadsheets/d/1Yj_ptqi66GCucihVvJfMjLAmec39IyEx_6qawtMGysU/edit?usp=sharing"",""สบก!DJ91"")"),0)</f>
        <v>0</v>
      </c>
      <c r="M337" s="101"/>
      <c r="N337" s="91">
        <f ca="1">IFERROR(__xludf.DUMMYFUNCTION("IMPORTRANGE(""https://docs.google.com/spreadsheets/d/1Yj_ptqi66GCucihVvJfMjLAmec39IyEx_6qawtMGysU/edit?usp=sharing"",""สบก!DN91"")"),0)</f>
        <v>0</v>
      </c>
      <c r="O337" s="101">
        <f ca="1">IF(L337&gt;0,N337*100/L337,0)</f>
        <v>0</v>
      </c>
      <c r="P337" s="101"/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IFERROR(__xludf.DUMMYFUNCTION("IMPORTRANGE(""https://docs.google.com/spreadsheets/d/1IYY_tgx_IHuhSq3AJ5eI5OnqOPBNLWSHKh2a30DoXe8/edit?usp=sharing"",""ระนอง!I234"")"),0)</f>
        <v>0</v>
      </c>
      <c r="J339" s="194">
        <f ca="1">IFERROR(__xludf.DUMMYFUNCTION("IMPORTRANGE(""https://docs.google.com/spreadsheets/d/1IYY_tgx_IHuhSq3AJ5eI5OnqOPBNLWSHKh2a30DoXe8/edit?usp=sharing"",""ระนอง!J234"")"),100)</f>
        <v>100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IFERROR(__xludf.DUMMYFUNCTION("IMPORTRANGE(""https://docs.google.com/spreadsheets/d/1IYY_tgx_IHuhSq3AJ5eI5OnqOPBNLWSHKh2a30DoXe8/edit?usp=sharing"",""ระนอง!I235"")"),540)</f>
        <v>540</v>
      </c>
      <c r="J340" s="194">
        <f ca="1">IFERROR(__xludf.DUMMYFUNCTION("IMPORTRANGE(""https://docs.google.com/spreadsheets/d/1IYY_tgx_IHuhSq3AJ5eI5OnqOPBNLWSHKh2a30DoXe8/edit?usp=sharing"",""ระนอง!J235"")"),762.44)</f>
        <v>762.44</v>
      </c>
      <c r="K340" s="348">
        <f t="shared" ca="1" si="103"/>
        <v>141.1925925925926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IFERROR(__xludf.DUMMYFUNCTION("IMPORTRANGE(""https://docs.google.com/spreadsheets/d/1IYY_tgx_IHuhSq3AJ5eI5OnqOPBNLWSHKh2a30DoXe8/edit?usp=sharing"",""ระนอง!I236"")"),75)</f>
        <v>75</v>
      </c>
      <c r="J341" s="194">
        <f ca="1">IFERROR(__xludf.DUMMYFUNCTION("IMPORTRANGE(""https://docs.google.com/spreadsheets/d/1IYY_tgx_IHuhSq3AJ5eI5OnqOPBNLWSHKh2a30DoXe8/edit?usp=sharing"",""ระนอง!J236"")"),118)</f>
        <v>118</v>
      </c>
      <c r="K341" s="348">
        <f t="shared" ca="1" si="103"/>
        <v>157.33333333333334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IFERROR(__xludf.DUMMYFUNCTION("IMPORTRANGE(""https://docs.google.com/spreadsheets/d/1IYY_tgx_IHuhSq3AJ5eI5OnqOPBNLWSHKh2a30DoXe8/edit?usp=sharing"",""ระนอง!I237"")"),0)</f>
        <v>0</v>
      </c>
      <c r="J342" s="194">
        <f ca="1">IFERROR(__xludf.DUMMYFUNCTION("IMPORTRANGE(""https://docs.google.com/spreadsheets/d/1IYY_tgx_IHuhSq3AJ5eI5OnqOPBNLWSHKh2a30DoXe8/edit?usp=sharing"",""ระนอง!J237"")"),1219.01)</f>
        <v>1219.01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IFERROR(__xludf.DUMMYFUNCTION("IMPORTRANGE(""https://docs.google.com/spreadsheets/d/1IYY_tgx_IHuhSq3AJ5eI5OnqOPBNLWSHKh2a30DoXe8/edit?usp=sharing"",""ระนอง!I238"")"),75)</f>
        <v>75</v>
      </c>
      <c r="J343" s="194">
        <f ca="1">IFERROR(__xludf.DUMMYFUNCTION("IMPORTRANGE(""https://docs.google.com/spreadsheets/d/1IYY_tgx_IHuhSq3AJ5eI5OnqOPBNLWSHKh2a30DoXe8/edit?usp=sharing"",""ระนอง!J238"")"),0)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IFERROR(__xludf.DUMMYFUNCTION("IMPORTRANGE(""https://docs.google.com/spreadsheets/d/1IYY_tgx_IHuhSq3AJ5eI5OnqOPBNLWSHKh2a30DoXe8/edit?usp=sharing"",""ระนอง!I239"")"),0)</f>
        <v>0</v>
      </c>
      <c r="J344" s="194">
        <f ca="1">IFERROR(__xludf.DUMMYFUNCTION("IMPORTRANGE(""https://docs.google.com/spreadsheets/d/1IYY_tgx_IHuhSq3AJ5eI5OnqOPBNLWSHKh2a30DoXe8/edit?usp=sharing"",""ระนอง!J239"")"),0)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IFERROR(__xludf.DUMMYFUNCTION("IMPORTRANGE(""https://docs.google.com/spreadsheets/d/1IYY_tgx_IHuhSq3AJ5eI5OnqOPBNLWSHKh2a30DoXe8/edit?usp=sharing"",""ระนอง!I240"")"),75)</f>
        <v>75</v>
      </c>
      <c r="J345" s="194">
        <f ca="1">IFERROR(__xludf.DUMMYFUNCTION("IMPORTRANGE(""https://docs.google.com/spreadsheets/d/1IYY_tgx_IHuhSq3AJ5eI5OnqOPBNLWSHKh2a30DoXe8/edit?usp=sharing"",""ระนอง!J240"")"),87)</f>
        <v>87</v>
      </c>
      <c r="K345" s="348">
        <f t="shared" ca="1" si="103"/>
        <v>116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IFERROR(__xludf.DUMMYFUNCTION("IMPORTRANGE(""https://docs.google.com/spreadsheets/d/1IYY_tgx_IHuhSq3AJ5eI5OnqOPBNLWSHKh2a30DoXe8/edit?usp=sharing"",""ระนอง!I241"")"),0)</f>
        <v>0</v>
      </c>
      <c r="J346" s="194">
        <f ca="1">IFERROR(__xludf.DUMMYFUNCTION("IMPORTRANGE(""https://docs.google.com/spreadsheets/d/1IYY_tgx_IHuhSq3AJ5eI5OnqOPBNLWSHKh2a30DoXe8/edit?usp=sharing"",""ระนอง!J241"")"),821.13)</f>
        <v>821.13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IFERROR(__xludf.DUMMYFUNCTION("IMPORTRANGE(""https://docs.google.com/spreadsheets/d/1IYY_tgx_IHuhSq3AJ5eI5OnqOPBNLWSHKh2a30DoXe8/edit?usp=sharing"",""ระนอง!L242"")"),1565377)</f>
        <v>1565377</v>
      </c>
      <c r="M347" s="364"/>
      <c r="N347" s="364">
        <f ca="1">IFERROR(__xludf.DUMMYFUNCTION("IMPORTRANGE(""https://docs.google.com/spreadsheets/d/1IYY_tgx_IHuhSq3AJ5eI5OnqOPBNLWSHKh2a30DoXe8/edit?usp=sharing"",""ระนอง!M242"")"),994354)</f>
        <v>994354</v>
      </c>
      <c r="O347" s="364">
        <f ca="1">+IF(L347&gt;0,N347*100/L347,0)</f>
        <v>63.521694773846811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IFERROR(__xludf.DUMMYFUNCTION("IMPORTRANGE(""https://docs.google.com/spreadsheets/d/1IYY_tgx_IHuhSq3AJ5eI5OnqOPBNLWSHKh2a30DoXe8/edit?usp=sharing"",""ระนอง!I244"")"),20)</f>
        <v>20</v>
      </c>
      <c r="J349" s="377">
        <f ca="1">IFERROR(__xludf.DUMMYFUNCTION("IMPORTRANGE(""https://docs.google.com/spreadsheets/d/1IYY_tgx_IHuhSq3AJ5eI5OnqOPBNLWSHKh2a30DoXe8/edit?usp=sharing"",""ระนอง!J244"")"),20)</f>
        <v>20</v>
      </c>
      <c r="K349" s="378">
        <f t="shared" ref="K349:K350" ca="1" si="104">IF(I349&gt;0,J349*100/I349,0)</f>
        <v>100</v>
      </c>
      <c r="L349" s="379">
        <f ca="1">IFERROR(__xludf.DUMMYFUNCTION("IMPORTRANGE(""https://docs.google.com/spreadsheets/d/1IYY_tgx_IHuhSq3AJ5eI5OnqOPBNLWSHKh2a30DoXe8/edit?usp=sharing"",""ระนอง!L244"")"),65120)</f>
        <v>65120</v>
      </c>
      <c r="M349" s="379"/>
      <c r="N349" s="379">
        <f ca="1">IFERROR(__xludf.DUMMYFUNCTION("IMPORTRANGE(""https://docs.google.com/spreadsheets/d/1IYY_tgx_IHuhSq3AJ5eI5OnqOPBNLWSHKh2a30DoXe8/edit?usp=sharing"",""ระนอง!M244"")"),65120)</f>
        <v>65120</v>
      </c>
      <c r="O349" s="379">
        <f ca="1">+IF(L349&gt;0,N349*100/L349,0)</f>
        <v>100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IFERROR(__xludf.DUMMYFUNCTION("IMPORTRANGE(""https://docs.google.com/spreadsheets/d/1IYY_tgx_IHuhSq3AJ5eI5OnqOPBNLWSHKh2a30DoXe8/edit?usp=sharing"",""ระนอง!I245"")"),20)</f>
        <v>20</v>
      </c>
      <c r="J350" s="377">
        <f ca="1">IFERROR(__xludf.DUMMYFUNCTION("IMPORTRANGE(""https://docs.google.com/spreadsheets/d/1IYY_tgx_IHuhSq3AJ5eI5OnqOPBNLWSHKh2a30DoXe8/edit?usp=sharing"",""ระนอง!J245"")"),20)</f>
        <v>20</v>
      </c>
      <c r="K350" s="378">
        <f t="shared" ca="1" si="104"/>
        <v>100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IFERROR(__xludf.DUMMYFUNCTION("IMPORTRANGE(""https://docs.google.com/spreadsheets/d/1IYY_tgx_IHuhSq3AJ5eI5OnqOPBNLWSHKh2a30DoXe8/edit?usp=sharing"",""ระนอง!L246"")"),0)</f>
        <v>0</v>
      </c>
      <c r="M351" s="168"/>
      <c r="N351" s="168">
        <f ca="1">IFERROR(__xludf.DUMMYFUNCTION("IMPORTRANGE(""https://docs.google.com/spreadsheets/d/1IYY_tgx_IHuhSq3AJ5eI5OnqOPBNLWSHKh2a30DoXe8/edit?usp=sharing"",""ระนอง!M246"")"),0)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IFERROR(__xludf.DUMMYFUNCTION("IMPORTRANGE(""https://docs.google.com/spreadsheets/d/1IYY_tgx_IHuhSq3AJ5eI5OnqOPBNLWSHKh2a30DoXe8/edit?usp=sharing"",""ระนอง!L247"")"),65120)</f>
        <v>65120</v>
      </c>
      <c r="M352" s="169"/>
      <c r="N352" s="168">
        <f ca="1">IFERROR(__xludf.DUMMYFUNCTION("IMPORTRANGE(""https://docs.google.com/spreadsheets/d/1IYY_tgx_IHuhSq3AJ5eI5OnqOPBNLWSHKh2a30DoXe8/edit?usp=sharing"",""ระนอง!M247"")"),65120)</f>
        <v>65120</v>
      </c>
      <c r="O352" s="169">
        <f t="shared" ca="1" si="105"/>
        <v>100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IFERROR(__xludf.DUMMYFUNCTION("IMPORTRANGE(""https://docs.google.com/spreadsheets/d/1IYY_tgx_IHuhSq3AJ5eI5OnqOPBNLWSHKh2a30DoXe8/edit?usp=sharing"",""ระนอง!L248"")"),0)</f>
        <v>0</v>
      </c>
      <c r="M353" s="175"/>
      <c r="N353" s="175">
        <f ca="1">IFERROR(__xludf.DUMMYFUNCTION("IMPORTRANGE(""https://docs.google.com/spreadsheets/d/1IYY_tgx_IHuhSq3AJ5eI5OnqOPBNLWSHKh2a30DoXe8/edit?usp=sharing"",""ระนอง!M248"")"),0)</f>
        <v>0</v>
      </c>
      <c r="O353" s="175">
        <f t="shared" ca="1" si="105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IFERROR(__xludf.DUMMYFUNCTION("IMPORTRANGE(""https://docs.google.com/spreadsheets/d/1IYY_tgx_IHuhSq3AJ5eI5OnqOPBNLWSHKh2a30DoXe8/edit?usp=sharing"",""ระนอง!L249"")"),65120)</f>
        <v>65120</v>
      </c>
      <c r="M354" s="175"/>
      <c r="N354" s="172">
        <f ca="1">IFERROR(__xludf.DUMMYFUNCTION("IMPORTRANGE(""https://docs.google.com/spreadsheets/d/1IYY_tgx_IHuhSq3AJ5eI5OnqOPBNLWSHKh2a30DoXe8/edit?usp=sharing"",""ระนอง!M249"")"),65120)</f>
        <v>65120</v>
      </c>
      <c r="O354" s="175">
        <f t="shared" ca="1" si="105"/>
        <v>100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IFERROR(__xludf.DUMMYFUNCTION("IMPORTRANGE(""https://docs.google.com/spreadsheets/d/1IYY_tgx_IHuhSq3AJ5eI5OnqOPBNLWSHKh2a30DoXe8/edit?usp=sharing"",""ระนอง!M250"")"),26600)</f>
        <v>26600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IFERROR(__xludf.DUMMYFUNCTION("IMPORTRANGE(""https://docs.google.com/spreadsheets/d/1IYY_tgx_IHuhSq3AJ5eI5OnqOPBNLWSHKh2a30DoXe8/edit?usp=sharing"",""ระนอง!M251"")"),20100)</f>
        <v>20100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IFERROR(__xludf.DUMMYFUNCTION("IMPORTRANGE(""https://docs.google.com/spreadsheets/d/1IYY_tgx_IHuhSq3AJ5eI5OnqOPBNLWSHKh2a30DoXe8/edit?usp=sharing"",""ระนอง!M252"")"),0)</f>
        <v>0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IFERROR(__xludf.DUMMYFUNCTION("IMPORTRANGE(""https://docs.google.com/spreadsheets/d/1IYY_tgx_IHuhSq3AJ5eI5OnqOPBNLWSHKh2a30DoXe8/edit?usp=sharing"",""ระนอง!M253"")"),18420)</f>
        <v>18420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IFERROR(__xludf.DUMMYFUNCTION("IMPORTRANGE(""https://docs.google.com/spreadsheets/d/1IYY_tgx_IHuhSq3AJ5eI5OnqOPBNLWSHKh2a30DoXe8/edit?usp=sharing"",""ระนอง!J255"")"),0)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IFERROR(__xludf.DUMMYFUNCTION("IMPORTRANGE(""https://docs.google.com/spreadsheets/d/1IYY_tgx_IHuhSq3AJ5eI5OnqOPBNLWSHKh2a30DoXe8/edit?usp=sharing"",""ระนอง!J256"")"),1)</f>
        <v>1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IFERROR(__xludf.DUMMYFUNCTION("IMPORTRANGE(""https://docs.google.com/spreadsheets/d/1IYY_tgx_IHuhSq3AJ5eI5OnqOPBNLWSHKh2a30DoXe8/edit?usp=sharing"",""ระนอง!J257"")"),1)</f>
        <v>1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IFERROR(__xludf.DUMMYFUNCTION("IMPORTRANGE(""https://docs.google.com/spreadsheets/d/1IYY_tgx_IHuhSq3AJ5eI5OnqOPBNLWSHKh2a30DoXe8/edit?usp=sharing"",""ระนอง!J258"")"),1)</f>
        <v>1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IFERROR(__xludf.DUMMYFUNCTION("IMPORTRANGE(""https://docs.google.com/spreadsheets/d/1IYY_tgx_IHuhSq3AJ5eI5OnqOPBNLWSHKh2a30DoXe8/edit?usp=sharing"",""ระนอง!J166"")"),0)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IFERROR(__xludf.DUMMYFUNCTION("IMPORTRANGE(""https://docs.google.com/spreadsheets/d/1IYY_tgx_IHuhSq3AJ5eI5OnqOPBNLWSHKh2a30DoXe8/edit?usp=sharing"",""ระนอง!J166"")"),0)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IFERROR(__xludf.DUMMYFUNCTION("IMPORTRANGE(""https://docs.google.com/spreadsheets/d/1IYY_tgx_IHuhSq3AJ5eI5OnqOPBNLWSHKh2a30DoXe8/edit?usp=sharing"",""ระนอง!J166"")"),0)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IFERROR(__xludf.DUMMYFUNCTION("IMPORTRANGE(""https://docs.google.com/spreadsheets/d/1IYY_tgx_IHuhSq3AJ5eI5OnqOPBNLWSHKh2a30DoXe8/edit?usp=sharing"",""ระนอง!J166"")"),0)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IFERROR(__xludf.DUMMYFUNCTION("IMPORTRANGE(""https://docs.google.com/spreadsheets/d/1IYY_tgx_IHuhSq3AJ5eI5OnqOPBNLWSHKh2a30DoXe8/edit?usp=sharing"",""ระนอง!I263"")"),20)</f>
        <v>20</v>
      </c>
      <c r="J368" s="194">
        <f ca="1">IFERROR(__xludf.DUMMYFUNCTION("IMPORTRANGE(""https://docs.google.com/spreadsheets/d/1IYY_tgx_IHuhSq3AJ5eI5OnqOPBNLWSHKh2a30DoXe8/edit?usp=sharing"",""ระนอง!J263"")"),20)</f>
        <v>20</v>
      </c>
      <c r="K368" s="167">
        <f t="shared" ca="1" si="106"/>
        <v>100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IFERROR(__xludf.DUMMYFUNCTION("IMPORTRANGE(""https://docs.google.com/spreadsheets/d/1IYY_tgx_IHuhSq3AJ5eI5OnqOPBNLWSHKh2a30DoXe8/edit?usp=sharing"",""ระนอง!I164"")"),0)</f>
        <v>0</v>
      </c>
      <c r="J369" s="210">
        <f ca="1">IFERROR(__xludf.DUMMYFUNCTION("IMPORTRANGE(""https://docs.google.com/spreadsheets/d/1IYY_tgx_IHuhSq3AJ5eI5OnqOPBNLWSHKh2a30DoXe8/edit?usp=sharing"",""ระนอง!J164"")"),0)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IFERROR(__xludf.DUMMYFUNCTION("IMPORTRANGE(""https://docs.google.com/spreadsheets/d/1IYY_tgx_IHuhSq3AJ5eI5OnqOPBNLWSHKh2a30DoXe8/edit?usp=sharing"",""ระนอง!I265"")"),20)</f>
        <v>20</v>
      </c>
      <c r="J370" s="210">
        <f ca="1">IFERROR(__xludf.DUMMYFUNCTION("IMPORTRANGE(""https://docs.google.com/spreadsheets/d/1IYY_tgx_IHuhSq3AJ5eI5OnqOPBNLWSHKh2a30DoXe8/edit?usp=sharing"",""ระนอง!J265"")"),20)</f>
        <v>20</v>
      </c>
      <c r="K370" s="167">
        <f t="shared" ca="1" si="106"/>
        <v>100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IFERROR(__xludf.DUMMYFUNCTION("IMPORTRANGE(""https://docs.google.com/spreadsheets/d/1IYY_tgx_IHuhSq3AJ5eI5OnqOPBNLWSHKh2a30DoXe8/edit?usp=sharing"",""ระนอง!I164"")"),0)</f>
        <v>0</v>
      </c>
      <c r="J371" s="195">
        <f ca="1">IFERROR(__xludf.DUMMYFUNCTION("IMPORTRANGE(""https://docs.google.com/spreadsheets/d/1IYY_tgx_IHuhSq3AJ5eI5OnqOPBNLWSHKh2a30DoXe8/edit?usp=sharing"",""ระนอง!J164"")"),0)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IFERROR(__xludf.DUMMYFUNCTION("IMPORTRANGE(""https://docs.google.com/spreadsheets/d/1IYY_tgx_IHuhSq3AJ5eI5OnqOPBNLWSHKh2a30DoXe8/edit?usp=sharing"",""ระนอง!I267"")"),20)</f>
        <v>20</v>
      </c>
      <c r="J372" s="195">
        <f ca="1">IFERROR(__xludf.DUMMYFUNCTION("IMPORTRANGE(""https://docs.google.com/spreadsheets/d/1IYY_tgx_IHuhSq3AJ5eI5OnqOPBNLWSHKh2a30DoXe8/edit?usp=sharing"",""ระนอง!J267"")"),20)</f>
        <v>20</v>
      </c>
      <c r="K372" s="167">
        <f t="shared" ca="1" si="106"/>
        <v>100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IFERROR(__xludf.DUMMYFUNCTION("IMPORTRANGE(""https://docs.google.com/spreadsheets/d/1IYY_tgx_IHuhSq3AJ5eI5OnqOPBNLWSHKh2a30DoXe8/edit?usp=sharing"",""ระนอง!I164"")"),0)</f>
        <v>0</v>
      </c>
      <c r="J373" s="210">
        <f ca="1">IFERROR(__xludf.DUMMYFUNCTION("IMPORTRANGE(""https://docs.google.com/spreadsheets/d/1IYY_tgx_IHuhSq3AJ5eI5OnqOPBNLWSHKh2a30DoXe8/edit?usp=sharing"",""ระนอง!J164"")"),0)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IFERROR(__xludf.DUMMYFUNCTION("IMPORTRANGE(""https://docs.google.com/spreadsheets/d/1IYY_tgx_IHuhSq3AJ5eI5OnqOPBNLWSHKh2a30DoXe8/edit?usp=sharing"",""ระนอง!I164"")"),0)</f>
        <v>0</v>
      </c>
      <c r="J374" s="194">
        <f ca="1">IFERROR(__xludf.DUMMYFUNCTION("IMPORTRANGE(""https://docs.google.com/spreadsheets/d/1IYY_tgx_IHuhSq3AJ5eI5OnqOPBNLWSHKh2a30DoXe8/edit?usp=sharing"",""ระนอง!J164"")"),0)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IFERROR(__xludf.DUMMYFUNCTION("IMPORTRANGE(""https://docs.google.com/spreadsheets/d/1IYY_tgx_IHuhSq3AJ5eI5OnqOPBNLWSHKh2a30DoXe8/edit?usp=sharing"",""ระนอง!I270"")"),20)</f>
        <v>20</v>
      </c>
      <c r="J375" s="194">
        <f ca="1">IFERROR(__xludf.DUMMYFUNCTION("IMPORTRANGE(""https://docs.google.com/spreadsheets/d/1IYY_tgx_IHuhSq3AJ5eI5OnqOPBNLWSHKh2a30DoXe8/edit?usp=sharing"",""ระนอง!J270"")"),20)</f>
        <v>20</v>
      </c>
      <c r="K375" s="167">
        <f t="shared" ref="K375:K377" ca="1" si="107">IF(I375&gt;0,J375*100/I375,0)</f>
        <v>100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IFERROR(__xludf.DUMMYFUNCTION("IMPORTRANGE(""https://docs.google.com/spreadsheets/d/1IYY_tgx_IHuhSq3AJ5eI5OnqOPBNLWSHKh2a30DoXe8/edit?usp=sharing"",""ระนอง!I271"")"),0)</f>
        <v>0</v>
      </c>
      <c r="J376" s="195">
        <f ca="1">IFERROR(__xludf.DUMMYFUNCTION("IMPORTRANGE(""https://docs.google.com/spreadsheets/d/1IYY_tgx_IHuhSq3AJ5eI5OnqOPBNLWSHKh2a30DoXe8/edit?usp=sharing"",""ระนอง!J271"")"),0)</f>
        <v>0</v>
      </c>
      <c r="K376" s="167">
        <f t="shared" ca="1" si="107"/>
        <v>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IFERROR(__xludf.DUMMYFUNCTION("IMPORTRANGE(""https://docs.google.com/spreadsheets/d/1IYY_tgx_IHuhSq3AJ5eI5OnqOPBNLWSHKh2a30DoXe8/edit?usp=sharing"",""ระนอง!I272"")"),20)</f>
        <v>20</v>
      </c>
      <c r="J377" s="210">
        <f ca="1">IFERROR(__xludf.DUMMYFUNCTION("IMPORTRANGE(""https://docs.google.com/spreadsheets/d/1IYY_tgx_IHuhSq3AJ5eI5OnqOPBNLWSHKh2a30DoXe8/edit?usp=sharing"",""ระนอง!J272"")"),20)</f>
        <v>20</v>
      </c>
      <c r="K377" s="167">
        <f t="shared" ca="1" si="107"/>
        <v>100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IFERROR(__xludf.DUMMYFUNCTION("IMPORTRANGE(""https://docs.google.com/spreadsheets/d/1IYY_tgx_IHuhSq3AJ5eI5OnqOPBNLWSHKh2a30DoXe8/edit?usp=sharing"",""ระนอง!J273"")"),0)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IFERROR(__xludf.DUMMYFUNCTION("IMPORTRANGE(""https://docs.google.com/spreadsheets/d/1IYY_tgx_IHuhSq3AJ5eI5OnqOPBNLWSHKh2a30DoXe8/edit?usp=sharing"",""ระนอง!J274"")"),0)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IFERROR(__xludf.DUMMYFUNCTION("IMPORTRANGE(""https://docs.google.com/spreadsheets/d/1IYY_tgx_IHuhSq3AJ5eI5OnqOPBNLWSHKh2a30DoXe8/edit?usp=sharing"",""ระนอง!I275"")"),1000)</f>
        <v>1000</v>
      </c>
      <c r="J380" s="377">
        <f ca="1">IFERROR(__xludf.DUMMYFUNCTION("IMPORTRANGE(""https://docs.google.com/spreadsheets/d/1IYY_tgx_IHuhSq3AJ5eI5OnqOPBNLWSHKh2a30DoXe8/edit?usp=sharing"",""ระนอง!J275"")"),1000)</f>
        <v>1000</v>
      </c>
      <c r="K380" s="378">
        <f t="shared" ref="K380:K381" ca="1" si="108">IF(I380&gt;0,J380*100/I380,0)</f>
        <v>100</v>
      </c>
      <c r="L380" s="379">
        <f ca="1">IFERROR(__xludf.DUMMYFUNCTION("IMPORTRANGE(""https://docs.google.com/spreadsheets/d/1IYY_tgx_IHuhSq3AJ5eI5OnqOPBNLWSHKh2a30DoXe8/edit?usp=sharing"",""ระนอง!L275"")"),1028520)</f>
        <v>1028520</v>
      </c>
      <c r="M380" s="379"/>
      <c r="N380" s="379">
        <f ca="1">IFERROR(__xludf.DUMMYFUNCTION("IMPORTRANGE(""https://docs.google.com/spreadsheets/d/1IYY_tgx_IHuhSq3AJ5eI5OnqOPBNLWSHKh2a30DoXe8/edit?usp=sharing"",""ระนอง!M275"")"),642482)</f>
        <v>642482</v>
      </c>
      <c r="O380" s="379">
        <f ca="1">+IF(L380&gt;0,N380*100/L380,0)</f>
        <v>62.466651110333295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IFERROR(__xludf.DUMMYFUNCTION("IMPORTRANGE(""https://docs.google.com/spreadsheets/d/1IYY_tgx_IHuhSq3AJ5eI5OnqOPBNLWSHKh2a30DoXe8/edit?usp=sharing"",""ระนอง!I276"")"),100)</f>
        <v>100</v>
      </c>
      <c r="J381" s="377">
        <f ca="1">IFERROR(__xludf.DUMMYFUNCTION("IMPORTRANGE(""https://docs.google.com/spreadsheets/d/1IYY_tgx_IHuhSq3AJ5eI5OnqOPBNLWSHKh2a30DoXe8/edit?usp=sharing"",""ระนอง!J276"")"),100)</f>
        <v>100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IFERROR(__xludf.DUMMYFUNCTION("IMPORTRANGE(""https://docs.google.com/spreadsheets/d/1IYY_tgx_IHuhSq3AJ5eI5OnqOPBNLWSHKh2a30DoXe8/edit?usp=sharing"",""ระนอง!L277"")"),0)</f>
        <v>0</v>
      </c>
      <c r="M382" s="168"/>
      <c r="N382" s="168">
        <f ca="1">IFERROR(__xludf.DUMMYFUNCTION("IMPORTRANGE(""https://docs.google.com/spreadsheets/d/1IYY_tgx_IHuhSq3AJ5eI5OnqOPBNLWSHKh2a30DoXe8/edit?usp=sharing"",""ระนอง!M277"")"),0)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IFERROR(__xludf.DUMMYFUNCTION("IMPORTRANGE(""https://docs.google.com/spreadsheets/d/1IYY_tgx_IHuhSq3AJ5eI5OnqOPBNLWSHKh2a30DoXe8/edit?usp=sharing"",""ระนอง!L278"")"),1028520)</f>
        <v>1028520</v>
      </c>
      <c r="M383" s="169"/>
      <c r="N383" s="169">
        <f ca="1">IFERROR(__xludf.DUMMYFUNCTION("IMPORTRANGE(""https://docs.google.com/spreadsheets/d/1IYY_tgx_IHuhSq3AJ5eI5OnqOPBNLWSHKh2a30DoXe8/edit?usp=sharing"",""ระนอง!M278"")"),642482)</f>
        <v>642482</v>
      </c>
      <c r="O383" s="169">
        <f t="shared" ca="1" si="109"/>
        <v>62.466651110333295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IFERROR(__xludf.DUMMYFUNCTION("IMPORTRANGE(""https://docs.google.com/spreadsheets/d/1IYY_tgx_IHuhSq3AJ5eI5OnqOPBNLWSHKh2a30DoXe8/edit?usp=sharing"",""ระนอง!L279"")"),0)</f>
        <v>0</v>
      </c>
      <c r="M384" s="175"/>
      <c r="N384" s="175">
        <f ca="1">IFERROR(__xludf.DUMMYFUNCTION("IMPORTRANGE(""https://docs.google.com/spreadsheets/d/1IYY_tgx_IHuhSq3AJ5eI5OnqOPBNLWSHKh2a30DoXe8/edit?usp=sharing"",""ระนอง!M279"")"),0)</f>
        <v>0</v>
      </c>
      <c r="O384" s="175">
        <f t="shared" ca="1" si="109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IFERROR(__xludf.DUMMYFUNCTION("IMPORTRANGE(""https://docs.google.com/spreadsheets/d/1IYY_tgx_IHuhSq3AJ5eI5OnqOPBNLWSHKh2a30DoXe8/edit?usp=sharing"",""ระนอง!L280"")"),1028520)</f>
        <v>1028520</v>
      </c>
      <c r="M385" s="175"/>
      <c r="N385" s="172">
        <f ca="1">IFERROR(__xludf.DUMMYFUNCTION("IMPORTRANGE(""https://docs.google.com/spreadsheets/d/1IYY_tgx_IHuhSq3AJ5eI5OnqOPBNLWSHKh2a30DoXe8/edit?usp=sharing"",""ระนอง!M280"")"),642482)</f>
        <v>642482</v>
      </c>
      <c r="O385" s="175">
        <f t="shared" ca="1" si="109"/>
        <v>62.466651110333295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IFERROR(__xludf.DUMMYFUNCTION("IMPORTRANGE(""https://docs.google.com/spreadsheets/d/1IYY_tgx_IHuhSq3AJ5eI5OnqOPBNLWSHKh2a30DoXe8/edit?usp=sharing"",""ระนอง!M281"")"),166325)</f>
        <v>166325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IFERROR(__xludf.DUMMYFUNCTION("IMPORTRANGE(""https://docs.google.com/spreadsheets/d/1IYY_tgx_IHuhSq3AJ5eI5OnqOPBNLWSHKh2a30DoXe8/edit?usp=sharing"",""ระนอง!M282"")"),352321)</f>
        <v>352321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IFERROR(__xludf.DUMMYFUNCTION("IMPORTRANGE(""https://docs.google.com/spreadsheets/d/1IYY_tgx_IHuhSq3AJ5eI5OnqOPBNLWSHKh2a30DoXe8/edit?usp=sharing"",""ระนอง!M283"")"),86166)</f>
        <v>86166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IFERROR(__xludf.DUMMYFUNCTION("IMPORTRANGE(""https://docs.google.com/spreadsheets/d/1IYY_tgx_IHuhSq3AJ5eI5OnqOPBNLWSHKh2a30DoXe8/edit?usp=sharing"",""ระนอง!M284"")"),37670)</f>
        <v>37670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IFERROR(__xludf.DUMMYFUNCTION("IMPORTRANGE(""https://docs.google.com/spreadsheets/d/1IYY_tgx_IHuhSq3AJ5eI5OnqOPBNLWSHKh2a30DoXe8/edit?usp=sharing"",""ระนอง!J286"")"),0)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IFERROR(__xludf.DUMMYFUNCTION("IMPORTRANGE(""https://docs.google.com/spreadsheets/d/1IYY_tgx_IHuhSq3AJ5eI5OnqOPBNLWSHKh2a30DoXe8/edit?usp=sharing"",""ระนอง!J287"")"),1)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IFERROR(__xludf.DUMMYFUNCTION("IMPORTRANGE(""https://docs.google.com/spreadsheets/d/1IYY_tgx_IHuhSq3AJ5eI5OnqOPBNLWSHKh2a30DoXe8/edit?usp=sharing"",""ระนอง!J288"")"),1)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IFERROR(__xludf.DUMMYFUNCTION("IMPORTRANGE(""https://docs.google.com/spreadsheets/d/1IYY_tgx_IHuhSq3AJ5eI5OnqOPBNLWSHKh2a30DoXe8/edit?usp=sharing"",""ระนอง!J289"")"),1)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IFERROR(__xludf.DUMMYFUNCTION("IMPORTRANGE(""https://docs.google.com/spreadsheets/d/1IYY_tgx_IHuhSq3AJ5eI5OnqOPBNLWSHKh2a30DoXe8/edit?usp=sharing"",""ระนอง!I291"")"),100)</f>
        <v>100</v>
      </c>
      <c r="J396" s="204">
        <f ca="1">IFERROR(__xludf.DUMMYFUNCTION("IMPORTRANGE(""https://docs.google.com/spreadsheets/d/1IYY_tgx_IHuhSq3AJ5eI5OnqOPBNLWSHKh2a30DoXe8/edit?usp=sharing"",""ระนอง!J291"")"),100)</f>
        <v>100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IFERROR(__xludf.DUMMYFUNCTION("IMPORTRANGE(""https://docs.google.com/spreadsheets/d/1IYY_tgx_IHuhSq3AJ5eI5OnqOPBNLWSHKh2a30DoXe8/edit?usp=sharing"",""ระนอง!I292"")"),1000)</f>
        <v>1000</v>
      </c>
      <c r="J397" s="204">
        <f ca="1">IFERROR(__xludf.DUMMYFUNCTION("IMPORTRANGE(""https://docs.google.com/spreadsheets/d/1IYY_tgx_IHuhSq3AJ5eI5OnqOPBNLWSHKh2a30DoXe8/edit?usp=sharing"",""ระนอง!J292"")"),1000)</f>
        <v>1000</v>
      </c>
      <c r="K397" s="167">
        <f t="shared" ca="1" si="110"/>
        <v>100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IFERROR(__xludf.DUMMYFUNCTION("IMPORTRANGE(""https://docs.google.com/spreadsheets/d/1IYY_tgx_IHuhSq3AJ5eI5OnqOPBNLWSHKh2a30DoXe8/edit?usp=sharing"",""ระนอง!I293"")"),100)</f>
        <v>100</v>
      </c>
      <c r="J398" s="204">
        <f ca="1">IFERROR(__xludf.DUMMYFUNCTION("IMPORTRANGE(""https://docs.google.com/spreadsheets/d/1IYY_tgx_IHuhSq3AJ5eI5OnqOPBNLWSHKh2a30DoXe8/edit?usp=sharing"",""ระนอง!J293"")"),100)</f>
        <v>100</v>
      </c>
      <c r="K398" s="167">
        <f t="shared" ca="1" si="110"/>
        <v>100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IFERROR(__xludf.DUMMYFUNCTION("IMPORTRANGE(""https://docs.google.com/spreadsheets/d/1IYY_tgx_IHuhSq3AJ5eI5OnqOPBNLWSHKh2a30DoXe8/edit?usp=sharing"",""ระนอง!J294"")"),0)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IFERROR(__xludf.DUMMYFUNCTION("IMPORTRANGE(""https://docs.google.com/spreadsheets/d/1IYY_tgx_IHuhSq3AJ5eI5OnqOPBNLWSHKh2a30DoXe8/edit?usp=sharing"",""ระนอง!J295"")"),0)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IFERROR(__xludf.DUMMYFUNCTION("IMPORTRANGE(""https://docs.google.com/spreadsheets/d/1IYY_tgx_IHuhSq3AJ5eI5OnqOPBNLWSHKh2a30DoXe8/edit?usp=sharing"",""ระนอง!I296"")"),165)</f>
        <v>165</v>
      </c>
      <c r="J401" s="377">
        <f ca="1">IFERROR(__xludf.DUMMYFUNCTION("IMPORTRANGE(""https://docs.google.com/spreadsheets/d/1IYY_tgx_IHuhSq3AJ5eI5OnqOPBNLWSHKh2a30DoXe8/edit?usp=sharing"",""ระนอง!J296"")"),165)</f>
        <v>165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IFERROR(__xludf.DUMMYFUNCTION("IMPORTRANGE(""https://docs.google.com/spreadsheets/d/1IYY_tgx_IHuhSq3AJ5eI5OnqOPBNLWSHKh2a30DoXe8/edit?usp=sharing"",""ระนอง!L296"")"),172190)</f>
        <v>172190</v>
      </c>
      <c r="M401" s="379"/>
      <c r="N401" s="379">
        <f ca="1">IFERROR(__xludf.DUMMYFUNCTION("IMPORTRANGE(""https://docs.google.com/spreadsheets/d/1IYY_tgx_IHuhSq3AJ5eI5OnqOPBNLWSHKh2a30DoXe8/edit?usp=sharing"",""ระนอง!M296"")"),121190)</f>
        <v>121190</v>
      </c>
      <c r="O401" s="379">
        <f ca="1">+IF(L401&gt;0,N401*100/L401,0)</f>
        <v>70.381555258725825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IFERROR(__xludf.DUMMYFUNCTION("IMPORTRANGE(""https://docs.google.com/spreadsheets/d/1IYY_tgx_IHuhSq3AJ5eI5OnqOPBNLWSHKh2a30DoXe8/edit?usp=sharing"",""ระนอง!I297"")"),55)</f>
        <v>55</v>
      </c>
      <c r="J402" s="377">
        <f ca="1">IFERROR(__xludf.DUMMYFUNCTION("IMPORTRANGE(""https://docs.google.com/spreadsheets/d/1IYY_tgx_IHuhSq3AJ5eI5OnqOPBNLWSHKh2a30DoXe8/edit?usp=sharing"",""ระนอง!J297"")"),55)</f>
        <v>55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IFERROR(__xludf.DUMMYFUNCTION("IMPORTRANGE(""https://docs.google.com/spreadsheets/d/1IYY_tgx_IHuhSq3AJ5eI5OnqOPBNLWSHKh2a30DoXe8/edit?usp=sharing"",""ระนอง!L298"")"),0)</f>
        <v>0</v>
      </c>
      <c r="M403" s="168"/>
      <c r="N403" s="175">
        <f ca="1">IFERROR(__xludf.DUMMYFUNCTION("IMPORTRANGE(""https://docs.google.com/spreadsheets/d/1IYY_tgx_IHuhSq3AJ5eI5OnqOPBNLWSHKh2a30DoXe8/edit?usp=sharing"",""ระนอง!M298"")"),0)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IFERROR(__xludf.DUMMYFUNCTION("IMPORTRANGE(""https://docs.google.com/spreadsheets/d/1IYY_tgx_IHuhSq3AJ5eI5OnqOPBNLWSHKh2a30DoXe8/edit?usp=sharing"",""ระนอง!L299"")"),172190)</f>
        <v>172190</v>
      </c>
      <c r="M404" s="169"/>
      <c r="N404" s="175">
        <f ca="1">IFERROR(__xludf.DUMMYFUNCTION("IMPORTRANGE(""https://docs.google.com/spreadsheets/d/1IYY_tgx_IHuhSq3AJ5eI5OnqOPBNLWSHKh2a30DoXe8/edit?usp=sharing"",""ระนอง!M299"")"),121190)</f>
        <v>121190</v>
      </c>
      <c r="O404" s="175">
        <f t="shared" ca="1" si="112"/>
        <v>70.381555258725825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IFERROR(__xludf.DUMMYFUNCTION("IMPORTRANGE(""https://docs.google.com/spreadsheets/d/1IYY_tgx_IHuhSq3AJ5eI5OnqOPBNLWSHKh2a30DoXe8/edit?usp=sharing"",""ระนอง!L300"")"),0)</f>
        <v>0</v>
      </c>
      <c r="M405" s="175"/>
      <c r="N405" s="175">
        <f ca="1">IFERROR(__xludf.DUMMYFUNCTION("IMPORTRANGE(""https://docs.google.com/spreadsheets/d/1IYY_tgx_IHuhSq3AJ5eI5OnqOPBNLWSHKh2a30DoXe8/edit?usp=sharing"",""ระนอง!M300"")"),0)</f>
        <v>0</v>
      </c>
      <c r="O405" s="175">
        <f t="shared" ca="1" si="112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IFERROR(__xludf.DUMMYFUNCTION("IMPORTRANGE(""https://docs.google.com/spreadsheets/d/1IYY_tgx_IHuhSq3AJ5eI5OnqOPBNLWSHKh2a30DoXe8/edit?usp=sharing"",""ระนอง!L301"")"),172190)</f>
        <v>172190</v>
      </c>
      <c r="M406" s="175"/>
      <c r="N406" s="175">
        <f ca="1">IFERROR(__xludf.DUMMYFUNCTION("IMPORTRANGE(""https://docs.google.com/spreadsheets/d/1IYY_tgx_IHuhSq3AJ5eI5OnqOPBNLWSHKh2a30DoXe8/edit?usp=sharing"",""ระนอง!M301"")"),121190)</f>
        <v>121190</v>
      </c>
      <c r="O406" s="175">
        <f t="shared" ca="1" si="112"/>
        <v>70.381555258725825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IFERROR(__xludf.DUMMYFUNCTION("IMPORTRANGE(""https://docs.google.com/spreadsheets/d/1IYY_tgx_IHuhSq3AJ5eI5OnqOPBNLWSHKh2a30DoXe8/edit?usp=sharing"",""ระนอง!M302"")"),63150)</f>
        <v>63150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IFERROR(__xludf.DUMMYFUNCTION("IMPORTRANGE(""https://docs.google.com/spreadsheets/d/1IYY_tgx_IHuhSq3AJ5eI5OnqOPBNLWSHKh2a30DoXe8/edit?usp=sharing"",""ระนอง!M303"")"),32500)</f>
        <v>32500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IFERROR(__xludf.DUMMYFUNCTION("IMPORTRANGE(""https://docs.google.com/spreadsheets/d/1IYY_tgx_IHuhSq3AJ5eI5OnqOPBNLWSHKh2a30DoXe8/edit?usp=sharing"",""ระนอง!M304"")"),0)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IFERROR(__xludf.DUMMYFUNCTION("IMPORTRANGE(""https://docs.google.com/spreadsheets/d/1IYY_tgx_IHuhSq3AJ5eI5OnqOPBNLWSHKh2a30DoXe8/edit?usp=sharing"",""ระนอง!M305"")"),25540)</f>
        <v>25540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IFERROR(__xludf.DUMMYFUNCTION("IMPORTRANGE(""https://docs.google.com/spreadsheets/d/1IYY_tgx_IHuhSq3AJ5eI5OnqOPBNLWSHKh2a30DoXe8/edit?usp=sharing"",""ระนอง!J307"")"),0)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IFERROR(__xludf.DUMMYFUNCTION("IMPORTRANGE(""https://docs.google.com/spreadsheets/d/1IYY_tgx_IHuhSq3AJ5eI5OnqOPBNLWSHKh2a30DoXe8/edit?usp=sharing"",""ระนอง!J308"")"),1)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IFERROR(__xludf.DUMMYFUNCTION("IMPORTRANGE(""https://docs.google.com/spreadsheets/d/1IYY_tgx_IHuhSq3AJ5eI5OnqOPBNLWSHKh2a30DoXe8/edit?usp=sharing"",""ระนอง!J309"")"),1)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IFERROR(__xludf.DUMMYFUNCTION("IMPORTRANGE(""https://docs.google.com/spreadsheets/d/1IYY_tgx_IHuhSq3AJ5eI5OnqOPBNLWSHKh2a30DoXe8/edit?usp=sharing"",""ระนอง!J310"")"),1)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IFERROR(__xludf.DUMMYFUNCTION("IMPORTRANGE(""https://docs.google.com/spreadsheets/d/1IYY_tgx_IHuhSq3AJ5eI5OnqOPBNLWSHKh2a30DoXe8/edit?usp=sharing"",""ระนอง!I311"")"),55)</f>
        <v>55</v>
      </c>
      <c r="J416" s="207">
        <f ca="1">IFERROR(__xludf.DUMMYFUNCTION("IMPORTRANGE(""https://docs.google.com/spreadsheets/d/1IYY_tgx_IHuhSq3AJ5eI5OnqOPBNLWSHKh2a30DoXe8/edit?usp=sharing"",""ระนอง!J311"")"),55)</f>
        <v>55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IFERROR(__xludf.DUMMYFUNCTION("IMPORTRANGE(""https://docs.google.com/spreadsheets/d/1IYY_tgx_IHuhSq3AJ5eI5OnqOPBNLWSHKh2a30DoXe8/edit?usp=sharing"",""ระนอง!I312"")"),10)</f>
        <v>10</v>
      </c>
      <c r="J417" s="398">
        <f ca="1">IFERROR(__xludf.DUMMYFUNCTION("IMPORTRANGE(""https://docs.google.com/spreadsheets/d/1IYY_tgx_IHuhSq3AJ5eI5OnqOPBNLWSHKh2a30DoXe8/edit?usp=sharing"",""ระนอง!J312"")"),10)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IFERROR(__xludf.DUMMYFUNCTION("IMPORTRANGE(""https://docs.google.com/spreadsheets/d/1IYY_tgx_IHuhSq3AJ5eI5OnqOPBNLWSHKh2a30DoXe8/edit?usp=sharing"",""ระนอง!I313"")"),30)</f>
        <v>30</v>
      </c>
      <c r="J418" s="399">
        <f ca="1">IFERROR(__xludf.DUMMYFUNCTION("IMPORTRANGE(""https://docs.google.com/spreadsheets/d/1IYY_tgx_IHuhSq3AJ5eI5OnqOPBNLWSHKh2a30DoXe8/edit?usp=sharing"",""ระนอง!J313"")"),30)</f>
        <v>30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IFERROR(__xludf.DUMMYFUNCTION("IMPORTRANGE(""https://docs.google.com/spreadsheets/d/1IYY_tgx_IHuhSq3AJ5eI5OnqOPBNLWSHKh2a30DoXe8/edit?usp=sharing"",""ระนอง!I314"")"),10)</f>
        <v>10</v>
      </c>
      <c r="J419" s="400">
        <f ca="1">IFERROR(__xludf.DUMMYFUNCTION("IMPORTRANGE(""https://docs.google.com/spreadsheets/d/1IYY_tgx_IHuhSq3AJ5eI5OnqOPBNLWSHKh2a30DoXe8/edit?usp=sharing"",""ระนอง!J314"")"),10)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IFERROR(__xludf.DUMMYFUNCTION("IMPORTRANGE(""https://docs.google.com/spreadsheets/d/1IYY_tgx_IHuhSq3AJ5eI5OnqOPBNLWSHKh2a30DoXe8/edit?usp=sharing"",""ระนอง!I315"")"),10)</f>
        <v>10</v>
      </c>
      <c r="J420" s="400">
        <f ca="1">IFERROR(__xludf.DUMMYFUNCTION("IMPORTRANGE(""https://docs.google.com/spreadsheets/d/1IYY_tgx_IHuhSq3AJ5eI5OnqOPBNLWSHKh2a30DoXe8/edit?usp=sharing"",""ระนอง!J315"")"),10)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IFERROR(__xludf.DUMMYFUNCTION("IMPORTRANGE(""https://docs.google.com/spreadsheets/d/1IYY_tgx_IHuhSq3AJ5eI5OnqOPBNLWSHKh2a30DoXe8/edit?usp=sharing"",""ระนอง!I316"")"),25)</f>
        <v>25</v>
      </c>
      <c r="J421" s="398">
        <f ca="1">IFERROR(__xludf.DUMMYFUNCTION("IMPORTRANGE(""https://docs.google.com/spreadsheets/d/1IYY_tgx_IHuhSq3AJ5eI5OnqOPBNLWSHKh2a30DoXe8/edit?usp=sharing"",""ระนอง!J316"")"),25)</f>
        <v>25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IFERROR(__xludf.DUMMYFUNCTION("IMPORTRANGE(""https://docs.google.com/spreadsheets/d/1IYY_tgx_IHuhSq3AJ5eI5OnqOPBNLWSHKh2a30DoXe8/edit?usp=sharing"",""ระนอง!I317"")"),75)</f>
        <v>75</v>
      </c>
      <c r="J422" s="399">
        <f ca="1">IFERROR(__xludf.DUMMYFUNCTION("IMPORTRANGE(""https://docs.google.com/spreadsheets/d/1IYY_tgx_IHuhSq3AJ5eI5OnqOPBNLWSHKh2a30DoXe8/edit?usp=sharing"",""ระนอง!J317"")"),75)</f>
        <v>75</v>
      </c>
      <c r="K422" s="208">
        <f t="shared" ca="1" si="113"/>
        <v>100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IFERROR(__xludf.DUMMYFUNCTION("IMPORTRANGE(""https://docs.google.com/spreadsheets/d/1IYY_tgx_IHuhSq3AJ5eI5OnqOPBNLWSHKh2a30DoXe8/edit?usp=sharing"",""ระนอง!I318"")"),25)</f>
        <v>25</v>
      </c>
      <c r="J423" s="400">
        <f ca="1">IFERROR(__xludf.DUMMYFUNCTION("IMPORTRANGE(""https://docs.google.com/spreadsheets/d/1IYY_tgx_IHuhSq3AJ5eI5OnqOPBNLWSHKh2a30DoXe8/edit?usp=sharing"",""ระนอง!J318"")"),25)</f>
        <v>25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IFERROR(__xludf.DUMMYFUNCTION("IMPORTRANGE(""https://docs.google.com/spreadsheets/d/1IYY_tgx_IHuhSq3AJ5eI5OnqOPBNLWSHKh2a30DoXe8/edit?usp=sharing"",""ระนอง!I319"")"),25)</f>
        <v>25</v>
      </c>
      <c r="J424" s="400">
        <f ca="1">IFERROR(__xludf.DUMMYFUNCTION("IMPORTRANGE(""https://docs.google.com/spreadsheets/d/1IYY_tgx_IHuhSq3AJ5eI5OnqOPBNLWSHKh2a30DoXe8/edit?usp=sharing"",""ระนอง!J319"")"),25)</f>
        <v>25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IFERROR(__xludf.DUMMYFUNCTION("IMPORTRANGE(""https://docs.google.com/spreadsheets/d/1IYY_tgx_IHuhSq3AJ5eI5OnqOPBNLWSHKh2a30DoXe8/edit?usp=sharing"",""ระนอง!I320"")"),25)</f>
        <v>25</v>
      </c>
      <c r="J425" s="400">
        <f ca="1">IFERROR(__xludf.DUMMYFUNCTION("IMPORTRANGE(""https://docs.google.com/spreadsheets/d/1IYY_tgx_IHuhSq3AJ5eI5OnqOPBNLWSHKh2a30DoXe8/edit?usp=sharing"",""ระนอง!J320"")"),25)</f>
        <v>25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IFERROR(__xludf.DUMMYFUNCTION("IMPORTRANGE(""https://docs.google.com/spreadsheets/d/1IYY_tgx_IHuhSq3AJ5eI5OnqOPBNLWSHKh2a30DoXe8/edit?usp=sharing"",""ระนอง!I321"")"),20)</f>
        <v>20</v>
      </c>
      <c r="J426" s="398">
        <f ca="1">IFERROR(__xludf.DUMMYFUNCTION("IMPORTRANGE(""https://docs.google.com/spreadsheets/d/1IYY_tgx_IHuhSq3AJ5eI5OnqOPBNLWSHKh2a30DoXe8/edit?usp=sharing"",""ระนอง!J321"")"),20)</f>
        <v>20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IFERROR(__xludf.DUMMYFUNCTION("IMPORTRANGE(""https://docs.google.com/spreadsheets/d/1IYY_tgx_IHuhSq3AJ5eI5OnqOPBNLWSHKh2a30DoXe8/edit?usp=sharing"",""ระนอง!I322"")"),60)</f>
        <v>60</v>
      </c>
      <c r="J427" s="399">
        <f ca="1">IFERROR(__xludf.DUMMYFUNCTION("IMPORTRANGE(""https://docs.google.com/spreadsheets/d/1IYY_tgx_IHuhSq3AJ5eI5OnqOPBNLWSHKh2a30DoXe8/edit?usp=sharing"",""ระนอง!J322"")"),60)</f>
        <v>60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IFERROR(__xludf.DUMMYFUNCTION("IMPORTRANGE(""https://docs.google.com/spreadsheets/d/1IYY_tgx_IHuhSq3AJ5eI5OnqOPBNLWSHKh2a30DoXe8/edit?usp=sharing"",""ระนอง!I323"")"),20)</f>
        <v>20</v>
      </c>
      <c r="J428" s="400">
        <f ca="1">IFERROR(__xludf.DUMMYFUNCTION("IMPORTRANGE(""https://docs.google.com/spreadsheets/d/1IYY_tgx_IHuhSq3AJ5eI5OnqOPBNLWSHKh2a30DoXe8/edit?usp=sharing"",""ระนอง!J323"")"),20)</f>
        <v>20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IFERROR(__xludf.DUMMYFUNCTION("IMPORTRANGE(""https://docs.google.com/spreadsheets/d/1IYY_tgx_IHuhSq3AJ5eI5OnqOPBNLWSHKh2a30DoXe8/edit?usp=sharing"",""ระนอง!I324"")"),20)</f>
        <v>20</v>
      </c>
      <c r="J429" s="400">
        <f ca="1">IFERROR(__xludf.DUMMYFUNCTION("IMPORTRANGE(""https://docs.google.com/spreadsheets/d/1IYY_tgx_IHuhSq3AJ5eI5OnqOPBNLWSHKh2a30DoXe8/edit?usp=sharing"",""ระนอง!J324"")"),20)</f>
        <v>20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IFERROR(__xludf.DUMMYFUNCTION("IMPORTRANGE(""https://docs.google.com/spreadsheets/d/1IYY_tgx_IHuhSq3AJ5eI5OnqOPBNLWSHKh2a30DoXe8/edit?usp=sharing"",""ระนอง!I325"")"),35)</f>
        <v>35</v>
      </c>
      <c r="J430" s="398">
        <f ca="1">IFERROR(__xludf.DUMMYFUNCTION("IMPORTRANGE(""https://docs.google.com/spreadsheets/d/1IYY_tgx_IHuhSq3AJ5eI5OnqOPBNLWSHKh2a30DoXe8/edit?usp=sharing"",""ระนอง!J325"")"),35)</f>
        <v>35</v>
      </c>
      <c r="K430" s="208">
        <f t="shared" ca="1" si="113"/>
        <v>100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IFERROR(__xludf.DUMMYFUNCTION("IMPORTRANGE(""https://docs.google.com/spreadsheets/d/1IYY_tgx_IHuhSq3AJ5eI5OnqOPBNLWSHKh2a30DoXe8/edit?usp=sharing"",""ระนอง!I326"")"),10)</f>
        <v>10</v>
      </c>
      <c r="J431" s="400">
        <f ca="1">IFERROR(__xludf.DUMMYFUNCTION("IMPORTRANGE(""https://docs.google.com/spreadsheets/d/1IYY_tgx_IHuhSq3AJ5eI5OnqOPBNLWSHKh2a30DoXe8/edit?usp=sharing"",""ระนอง!J326"")"),10)</f>
        <v>10</v>
      </c>
      <c r="K431" s="167">
        <f t="shared" ca="1" si="113"/>
        <v>100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IFERROR(__xludf.DUMMYFUNCTION("IMPORTRANGE(""https://docs.google.com/spreadsheets/d/1IYY_tgx_IHuhSq3AJ5eI5OnqOPBNLWSHKh2a30DoXe8/edit?usp=sharing"",""ระนอง!I327"")"),25)</f>
        <v>25</v>
      </c>
      <c r="J432" s="400">
        <f ca="1">IFERROR(__xludf.DUMMYFUNCTION("IMPORTRANGE(""https://docs.google.com/spreadsheets/d/1IYY_tgx_IHuhSq3AJ5eI5OnqOPBNLWSHKh2a30DoXe8/edit?usp=sharing"",""ระนอง!J327"")"),25)</f>
        <v>25</v>
      </c>
      <c r="K432" s="167">
        <f t="shared" ca="1" si="113"/>
        <v>100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IFERROR(__xludf.DUMMYFUNCTION("IMPORTRANGE(""https://docs.google.com/spreadsheets/d/1IYY_tgx_IHuhSq3AJ5eI5OnqOPBNLWSHKh2a30DoXe8/edit?usp=sharing"",""ระนอง!J328"")"),0)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IFERROR(__xludf.DUMMYFUNCTION("IMPORTRANGE(""https://docs.google.com/spreadsheets/d/1IYY_tgx_IHuhSq3AJ5eI5OnqOPBNLWSHKh2a30DoXe8/edit?usp=sharing"",""ระนอง!J329"")"),0)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IFERROR(__xludf.DUMMYFUNCTION("IMPORTRANGE(""https://docs.google.com/spreadsheets/d/1IYY_tgx_IHuhSq3AJ5eI5OnqOPBNLWSHKh2a30DoXe8/edit?usp=sharing"",""ระนอง!I330"")"),10)</f>
        <v>10</v>
      </c>
      <c r="J435" s="416">
        <f ca="1">IFERROR(__xludf.DUMMYFUNCTION("IMPORTRANGE(""https://docs.google.com/spreadsheets/d/1IYY_tgx_IHuhSq3AJ5eI5OnqOPBNLWSHKh2a30DoXe8/edit?usp=sharing"",""ระนอง!J330"")"),10)</f>
        <v>10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IFERROR(__xludf.DUMMYFUNCTION("IMPORTRANGE(""https://docs.google.com/spreadsheets/d/1IYY_tgx_IHuhSq3AJ5eI5OnqOPBNLWSHKh2a30DoXe8/edit?usp=sharing"",""ระนอง!L330"")"),76000)</f>
        <v>76000</v>
      </c>
      <c r="M435" s="418"/>
      <c r="N435" s="418">
        <f ca="1">IFERROR(__xludf.DUMMYFUNCTION("IMPORTRANGE(""https://docs.google.com/spreadsheets/d/1IYY_tgx_IHuhSq3AJ5eI5OnqOPBNLWSHKh2a30DoXe8/edit?usp=sharing"",""ระนอง!M330"")"),43150)</f>
        <v>43150</v>
      </c>
      <c r="O435" s="418">
        <f t="shared" ref="O435:O439" ca="1" si="114">+IF(L435&gt;0,N435*100/L435,0)</f>
        <v>56.776315789473685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IFERROR(__xludf.DUMMYFUNCTION("IMPORTRANGE(""https://docs.google.com/spreadsheets/d/1IYY_tgx_IHuhSq3AJ5eI5OnqOPBNLWSHKh2a30DoXe8/edit?usp=sharing"",""ระนอง!L331"")"),0)</f>
        <v>0</v>
      </c>
      <c r="M436" s="168"/>
      <c r="N436" s="175">
        <f ca="1">IFERROR(__xludf.DUMMYFUNCTION("IMPORTRANGE(""https://docs.google.com/spreadsheets/d/1IYY_tgx_IHuhSq3AJ5eI5OnqOPBNLWSHKh2a30DoXe8/edit?usp=sharing"",""ระนอง!M331"")"),0)</f>
        <v>0</v>
      </c>
      <c r="O436" s="175">
        <f t="shared" ca="1" si="114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IFERROR(__xludf.DUMMYFUNCTION("IMPORTRANGE(""https://docs.google.com/spreadsheets/d/1IYY_tgx_IHuhSq3AJ5eI5OnqOPBNLWSHKh2a30DoXe8/edit?usp=sharing"",""ระนอง!L332"")"),76000)</f>
        <v>76000</v>
      </c>
      <c r="M437" s="169"/>
      <c r="N437" s="175">
        <f ca="1">IFERROR(__xludf.DUMMYFUNCTION("IMPORTRANGE(""https://docs.google.com/spreadsheets/d/1IYY_tgx_IHuhSq3AJ5eI5OnqOPBNLWSHKh2a30DoXe8/edit?usp=sharing"",""ระนอง!M332"")"),43150)</f>
        <v>43150</v>
      </c>
      <c r="O437" s="175">
        <f t="shared" ca="1" si="114"/>
        <v>56.776315789473685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IFERROR(__xludf.DUMMYFUNCTION("IMPORTRANGE(""https://docs.google.com/spreadsheets/d/1IYY_tgx_IHuhSq3AJ5eI5OnqOPBNLWSHKh2a30DoXe8/edit?usp=sharing"",""ระนอง!L333"")"),0)</f>
        <v>0</v>
      </c>
      <c r="M438" s="175"/>
      <c r="N438" s="175">
        <f ca="1">IFERROR(__xludf.DUMMYFUNCTION("IMPORTRANGE(""https://docs.google.com/spreadsheets/d/1IYY_tgx_IHuhSq3AJ5eI5OnqOPBNLWSHKh2a30DoXe8/edit?usp=sharing"",""ระนอง!M333"")"),0)</f>
        <v>0</v>
      </c>
      <c r="O438" s="175">
        <f t="shared" ca="1" si="114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IFERROR(__xludf.DUMMYFUNCTION("IMPORTRANGE(""https://docs.google.com/spreadsheets/d/1IYY_tgx_IHuhSq3AJ5eI5OnqOPBNLWSHKh2a30DoXe8/edit?usp=sharing"",""ระนอง!L334"")"),76000)</f>
        <v>76000</v>
      </c>
      <c r="M439" s="175"/>
      <c r="N439" s="175">
        <f ca="1">IFERROR(__xludf.DUMMYFUNCTION("IMPORTRANGE(""https://docs.google.com/spreadsheets/d/1IYY_tgx_IHuhSq3AJ5eI5OnqOPBNLWSHKh2a30DoXe8/edit?usp=sharing"",""ระนอง!M334"")"),43150)</f>
        <v>43150</v>
      </c>
      <c r="O439" s="175">
        <f t="shared" ca="1" si="114"/>
        <v>56.776315789473685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IFERROR(__xludf.DUMMYFUNCTION("IMPORTRANGE(""https://docs.google.com/spreadsheets/d/1IYY_tgx_IHuhSq3AJ5eI5OnqOPBNLWSHKh2a30DoXe8/edit?usp=sharing"",""ระนอง!M335"")"),25200)</f>
        <v>25200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IFERROR(__xludf.DUMMYFUNCTION("IMPORTRANGE(""https://docs.google.com/spreadsheets/d/1IYY_tgx_IHuhSq3AJ5eI5OnqOPBNLWSHKh2a30DoXe8/edit?usp=sharing"",""ระนอง!M336"")"),0)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IFERROR(__xludf.DUMMYFUNCTION("IMPORTRANGE(""https://docs.google.com/spreadsheets/d/1IYY_tgx_IHuhSq3AJ5eI5OnqOPBNLWSHKh2a30DoXe8/edit?usp=sharing"",""ระนอง!M337"")"),0)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IFERROR(__xludf.DUMMYFUNCTION("IMPORTRANGE(""https://docs.google.com/spreadsheets/d/1IYY_tgx_IHuhSq3AJ5eI5OnqOPBNLWSHKh2a30DoXe8/edit?usp=sharing"",""ระนอง!M338"")"),17950)</f>
        <v>17950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IFERROR(__xludf.DUMMYFUNCTION("IMPORTRANGE(""https://docs.google.com/spreadsheets/d/1IYY_tgx_IHuhSq3AJ5eI5OnqOPBNLWSHKh2a30DoXe8/edit?usp=sharing"",""ระนอง!J340"")"),0)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IFERROR(__xludf.DUMMYFUNCTION("IMPORTRANGE(""https://docs.google.com/spreadsheets/d/1IYY_tgx_IHuhSq3AJ5eI5OnqOPBNLWSHKh2a30DoXe8/edit?usp=sharing"",""ระนอง!J341"")"),1)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IFERROR(__xludf.DUMMYFUNCTION("IMPORTRANGE(""https://docs.google.com/spreadsheets/d/1IYY_tgx_IHuhSq3AJ5eI5OnqOPBNLWSHKh2a30DoXe8/edit?usp=sharing"",""ระนอง!J342"")"),1)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IFERROR(__xludf.DUMMYFUNCTION("IMPORTRANGE(""https://docs.google.com/spreadsheets/d/1IYY_tgx_IHuhSq3AJ5eI5OnqOPBNLWSHKh2a30DoXe8/edit?usp=sharing"",""ระนอง!J343"")"),1)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IFERROR(__xludf.DUMMYFUNCTION("IMPORTRANGE(""https://docs.google.com/spreadsheets/d/1IYY_tgx_IHuhSq3AJ5eI5OnqOPBNLWSHKh2a30DoXe8/edit?usp=sharing"",""ระนอง!I344"")"),10)</f>
        <v>10</v>
      </c>
      <c r="J449" s="207">
        <f ca="1">IFERROR(__xludf.DUMMYFUNCTION("IMPORTRANGE(""https://docs.google.com/spreadsheets/d/1IYY_tgx_IHuhSq3AJ5eI5OnqOPBNLWSHKh2a30DoXe8/edit?usp=sharing"",""ระนอง!J344"")"),10)</f>
        <v>10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IFERROR(__xludf.DUMMYFUNCTION("IMPORTRANGE(""https://docs.google.com/spreadsheets/d/1IYY_tgx_IHuhSq3AJ5eI5OnqOPBNLWSHKh2a30DoXe8/edit?usp=sharing"",""ระนอง!I345"")"),10)</f>
        <v>10</v>
      </c>
      <c r="J450" s="195">
        <f ca="1">IFERROR(__xludf.DUMMYFUNCTION("IMPORTRANGE(""https://docs.google.com/spreadsheets/d/1IYY_tgx_IHuhSq3AJ5eI5OnqOPBNLWSHKh2a30DoXe8/edit?usp=sharing"",""ระนอง!J345"")"),10)</f>
        <v>10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IFERROR(__xludf.DUMMYFUNCTION("IMPORTRANGE(""https://docs.google.com/spreadsheets/d/1IYY_tgx_IHuhSq3AJ5eI5OnqOPBNLWSHKh2a30DoXe8/edit?usp=sharing"",""ระนอง!I346"")"),0)</f>
        <v>0</v>
      </c>
      <c r="J451" s="194">
        <f ca="1">IFERROR(__xludf.DUMMYFUNCTION("IMPORTRANGE(""https://docs.google.com/spreadsheets/d/1IYY_tgx_IHuhSq3AJ5eI5OnqOPBNLWSHKh2a30DoXe8/edit?usp=sharing"",""ระนอง!J346"")"),0)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IFERROR(__xludf.DUMMYFUNCTION("IMPORTRANGE(""https://docs.google.com/spreadsheets/d/1IYY_tgx_IHuhSq3AJ5eI5OnqOPBNLWSHKh2a30DoXe8/edit?usp=sharing"",""ระนอง!I347"")"),0)</f>
        <v>0</v>
      </c>
      <c r="J452" s="194">
        <f ca="1">IFERROR(__xludf.DUMMYFUNCTION("IMPORTRANGE(""https://docs.google.com/spreadsheets/d/1IYY_tgx_IHuhSq3AJ5eI5OnqOPBNLWSHKh2a30DoXe8/edit?usp=sharing"",""ระนอง!J347"")"),0)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IFERROR(__xludf.DUMMYFUNCTION("IMPORTRANGE(""https://docs.google.com/spreadsheets/d/1IYY_tgx_IHuhSq3AJ5eI5OnqOPBNLWSHKh2a30DoXe8/edit?usp=sharing"",""ระนอง!J348"")"),0)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IFERROR(__xludf.DUMMYFUNCTION("IMPORTRANGE(""https://docs.google.com/spreadsheets/d/1IYY_tgx_IHuhSq3AJ5eI5OnqOPBNLWSHKh2a30DoXe8/edit?usp=sharing"",""ระนอง!J349"")"),0)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IFERROR(__xludf.DUMMYFUNCTION("IMPORTRANGE(""https://docs.google.com/spreadsheets/d/1IYY_tgx_IHuhSq3AJ5eI5OnqOPBNLWSHKh2a30DoXe8/edit?usp=sharing"",""ระนอง!I350"")"),0)</f>
        <v>0</v>
      </c>
      <c r="J455" s="377">
        <f ca="1">IFERROR(__xludf.DUMMYFUNCTION("IMPORTRANGE(""https://docs.google.com/spreadsheets/d/1IYY_tgx_IHuhSq3AJ5eI5OnqOPBNLWSHKh2a30DoXe8/edit?usp=sharing"",""ระนอง!J350"")"),0)</f>
        <v>0</v>
      </c>
      <c r="K455" s="378">
        <f ca="1">IF(I455&gt;0,J455*100/I455,0)</f>
        <v>0</v>
      </c>
      <c r="L455" s="379">
        <f ca="1">IFERROR(__xludf.DUMMYFUNCTION("IMPORTRANGE(""https://docs.google.com/spreadsheets/d/1IYY_tgx_IHuhSq3AJ5eI5OnqOPBNLWSHKh2a30DoXe8/edit?usp=sharing"",""ระนอง!L350"")"),60227)</f>
        <v>60227</v>
      </c>
      <c r="M455" s="379"/>
      <c r="N455" s="379">
        <f ca="1">IFERROR(__xludf.DUMMYFUNCTION("IMPORTRANGE(""https://docs.google.com/spreadsheets/d/1IYY_tgx_IHuhSq3AJ5eI5OnqOPBNLWSHKh2a30DoXe8/edit?usp=sharing"",""ระนอง!M350"")"),15000)</f>
        <v>15000</v>
      </c>
      <c r="O455" s="379">
        <f t="shared" ref="O455:O459" ca="1" si="116">+IF(L455&gt;0,N455*100/L455,0)</f>
        <v>24.905773158218075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IFERROR(__xludf.DUMMYFUNCTION("IMPORTRANGE(""https://docs.google.com/spreadsheets/d/1IYY_tgx_IHuhSq3AJ5eI5OnqOPBNLWSHKh2a30DoXe8/edit?usp=sharing"",""ระนอง!L351"")"),0)</f>
        <v>0</v>
      </c>
      <c r="M456" s="168"/>
      <c r="N456" s="175">
        <f ca="1">IFERROR(__xludf.DUMMYFUNCTION("IMPORTRANGE(""https://docs.google.com/spreadsheets/d/1IYY_tgx_IHuhSq3AJ5eI5OnqOPBNLWSHKh2a30DoXe8/edit?usp=sharing"",""ระนอง!M351"")"),0)</f>
        <v>0</v>
      </c>
      <c r="O456" s="175">
        <f t="shared" ca="1" si="116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IFERROR(__xludf.DUMMYFUNCTION("IMPORTRANGE(""https://docs.google.com/spreadsheets/d/1IYY_tgx_IHuhSq3AJ5eI5OnqOPBNLWSHKh2a30DoXe8/edit?usp=sharing"",""ระนอง!L352"")"),60227)</f>
        <v>60227</v>
      </c>
      <c r="M457" s="169"/>
      <c r="N457" s="175">
        <f ca="1">IFERROR(__xludf.DUMMYFUNCTION("IMPORTRANGE(""https://docs.google.com/spreadsheets/d/1IYY_tgx_IHuhSq3AJ5eI5OnqOPBNLWSHKh2a30DoXe8/edit?usp=sharing"",""ระนอง!M352"")"),15000)</f>
        <v>15000</v>
      </c>
      <c r="O457" s="175">
        <f t="shared" ca="1" si="116"/>
        <v>24.905773158218075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IFERROR(__xludf.DUMMYFUNCTION("IMPORTRANGE(""https://docs.google.com/spreadsheets/d/1IYY_tgx_IHuhSq3AJ5eI5OnqOPBNLWSHKh2a30DoXe8/edit?usp=sharing"",""ระนอง!L353"")"),0)</f>
        <v>0</v>
      </c>
      <c r="M458" s="175"/>
      <c r="N458" s="175">
        <f ca="1">IFERROR(__xludf.DUMMYFUNCTION("IMPORTRANGE(""https://docs.google.com/spreadsheets/d/1IYY_tgx_IHuhSq3AJ5eI5OnqOPBNLWSHKh2a30DoXe8/edit?usp=sharing"",""ระนอง!M353"")"),0)</f>
        <v>0</v>
      </c>
      <c r="O458" s="175">
        <f t="shared" ca="1" si="116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IFERROR(__xludf.DUMMYFUNCTION("IMPORTRANGE(""https://docs.google.com/spreadsheets/d/1IYY_tgx_IHuhSq3AJ5eI5OnqOPBNLWSHKh2a30DoXe8/edit?usp=sharing"",""ระนอง!L354"")"),60227)</f>
        <v>60227</v>
      </c>
      <c r="M459" s="175"/>
      <c r="N459" s="175">
        <f ca="1">IFERROR(__xludf.DUMMYFUNCTION("IMPORTRANGE(""https://docs.google.com/spreadsheets/d/1IYY_tgx_IHuhSq3AJ5eI5OnqOPBNLWSHKh2a30DoXe8/edit?usp=sharing"",""ระนอง!M354"")"),15000)</f>
        <v>15000</v>
      </c>
      <c r="O459" s="175">
        <f t="shared" ca="1" si="116"/>
        <v>24.905773158218075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IFERROR(__xludf.DUMMYFUNCTION("IMPORTRANGE(""https://docs.google.com/spreadsheets/d/1IYY_tgx_IHuhSq3AJ5eI5OnqOPBNLWSHKh2a30DoXe8/edit?usp=sharing"",""ระนอง!M355"")"),0)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IFERROR(__xludf.DUMMYFUNCTION("IMPORTRANGE(""https://docs.google.com/spreadsheets/d/1IYY_tgx_IHuhSq3AJ5eI5OnqOPBNLWSHKh2a30DoXe8/edit?usp=sharing"",""ระนอง!M356"")"),0)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IFERROR(__xludf.DUMMYFUNCTION("IMPORTRANGE(""https://docs.google.com/spreadsheets/d/1IYY_tgx_IHuhSq3AJ5eI5OnqOPBNLWSHKh2a30DoXe8/edit?usp=sharing"",""ระนอง!M357"")"),0)</f>
        <v>0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IFERROR(__xludf.DUMMYFUNCTION("IMPORTRANGE(""https://docs.google.com/spreadsheets/d/1IYY_tgx_IHuhSq3AJ5eI5OnqOPBNLWSHKh2a30DoXe8/edit?usp=sharing"",""ระนอง!M358"")"),15000)</f>
        <v>15000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IFERROR(__xludf.DUMMYFUNCTION("IMPORTRANGE(""https://docs.google.com/spreadsheets/d/1IYY_tgx_IHuhSq3AJ5eI5OnqOPBNLWSHKh2a30DoXe8/edit?usp=sharing"",""ระนอง!I359"")"),0)</f>
        <v>0</v>
      </c>
      <c r="J464" s="273">
        <f ca="1">IFERROR(__xludf.DUMMYFUNCTION("IMPORTRANGE(""https://docs.google.com/spreadsheets/d/1IYY_tgx_IHuhSq3AJ5eI5OnqOPBNLWSHKh2a30DoXe8/edit?usp=sharing"",""ระนอง!J359"")"),0)</f>
        <v>0</v>
      </c>
      <c r="K464" s="274">
        <f t="shared" ref="K464:K515" ca="1" si="117">IF(I464&gt;0,J464*100/I464,0)</f>
        <v>0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IFERROR(__xludf.DUMMYFUNCTION("IMPORTRANGE(""https://docs.google.com/spreadsheets/d/1IYY_tgx_IHuhSq3AJ5eI5OnqOPBNLWSHKh2a30DoXe8/edit?usp=sharing"",""ระนอง!I360"")"),0)</f>
        <v>0</v>
      </c>
      <c r="J465" s="426">
        <f ca="1">IFERROR(__xludf.DUMMYFUNCTION("IMPORTRANGE(""https://docs.google.com/spreadsheets/d/1IYY_tgx_IHuhSq3AJ5eI5OnqOPBNLWSHKh2a30DoXe8/edit?usp=sharing"",""ระนอง!J360"")"),0)</f>
        <v>0</v>
      </c>
      <c r="K465" s="208">
        <f t="shared" ca="1" si="117"/>
        <v>0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IFERROR(__xludf.DUMMYFUNCTION("IMPORTRANGE(""https://docs.google.com/spreadsheets/d/1IYY_tgx_IHuhSq3AJ5eI5OnqOPBNLWSHKh2a30DoXe8/edit?usp=sharing"",""ระนอง!I361"")"),0)</f>
        <v>0</v>
      </c>
      <c r="J466" s="426">
        <f ca="1">IFERROR(__xludf.DUMMYFUNCTION("IMPORTRANGE(""https://docs.google.com/spreadsheets/d/1IYY_tgx_IHuhSq3AJ5eI5OnqOPBNLWSHKh2a30DoXe8/edit?usp=sharing"",""ระนอง!J361"")"),0)</f>
        <v>0</v>
      </c>
      <c r="K466" s="208">
        <f t="shared" ca="1" si="117"/>
        <v>0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IFERROR(__xludf.DUMMYFUNCTION("IMPORTRANGE(""https://docs.google.com/spreadsheets/d/1IYY_tgx_IHuhSq3AJ5eI5OnqOPBNLWSHKh2a30DoXe8/edit?usp=sharing"",""ระนอง!I362"")"),0)</f>
        <v>0</v>
      </c>
      <c r="J467" s="195">
        <f ca="1">IFERROR(__xludf.DUMMYFUNCTION("IMPORTRANGE(""https://docs.google.com/spreadsheets/d/1IYY_tgx_IHuhSq3AJ5eI5OnqOPBNLWSHKh2a30DoXe8/edit?usp=sharing"",""ระนอง!J362"")"),0)</f>
        <v>0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IFERROR(__xludf.DUMMYFUNCTION("IMPORTRANGE(""https://docs.google.com/spreadsheets/d/1IYY_tgx_IHuhSq3AJ5eI5OnqOPBNLWSHKh2a30DoXe8/edit?usp=sharing"",""ระนอง!I363"")"),0)</f>
        <v>0</v>
      </c>
      <c r="J468" s="195">
        <f ca="1">IFERROR(__xludf.DUMMYFUNCTION("IMPORTRANGE(""https://docs.google.com/spreadsheets/d/1IYY_tgx_IHuhSq3AJ5eI5OnqOPBNLWSHKh2a30DoXe8/edit?usp=sharing"",""ระนอง!J363"")"),0)</f>
        <v>0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IFERROR(__xludf.DUMMYFUNCTION("IMPORTRANGE(""https://docs.google.com/spreadsheets/d/1IYY_tgx_IHuhSq3AJ5eI5OnqOPBNLWSHKh2a30DoXe8/edit?usp=sharing"",""ระนอง!I364"")"),0)</f>
        <v>0</v>
      </c>
      <c r="J469" s="195">
        <f ca="1">IFERROR(__xludf.DUMMYFUNCTION("IMPORTRANGE(""https://docs.google.com/spreadsheets/d/1IYY_tgx_IHuhSq3AJ5eI5OnqOPBNLWSHKh2a30DoXe8/edit?usp=sharing"",""ระนอง!J364"")"),0)</f>
        <v>0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IFERROR(__xludf.DUMMYFUNCTION("IMPORTRANGE(""https://docs.google.com/spreadsheets/d/1IYY_tgx_IHuhSq3AJ5eI5OnqOPBNLWSHKh2a30DoXe8/edit?usp=sharing"",""ระนอง!I365"")"),0)</f>
        <v>0</v>
      </c>
      <c r="J470" s="195">
        <f ca="1">IFERROR(__xludf.DUMMYFUNCTION("IMPORTRANGE(""https://docs.google.com/spreadsheets/d/1IYY_tgx_IHuhSq3AJ5eI5OnqOPBNLWSHKh2a30DoXe8/edit?usp=sharing"",""ระนอง!J365"")"),0)</f>
        <v>0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IFERROR(__xludf.DUMMYFUNCTION("IMPORTRANGE(""https://docs.google.com/spreadsheets/d/1IYY_tgx_IHuhSq3AJ5eI5OnqOPBNLWSHKh2a30DoXe8/edit?usp=sharing"",""ระนอง!I366"")"),0)</f>
        <v>0</v>
      </c>
      <c r="J471" s="195">
        <f ca="1">IFERROR(__xludf.DUMMYFUNCTION("IMPORTRANGE(""https://docs.google.com/spreadsheets/d/1IYY_tgx_IHuhSq3AJ5eI5OnqOPBNLWSHKh2a30DoXe8/edit?usp=sharing"",""ระนอง!J366"")"),0)</f>
        <v>0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IFERROR(__xludf.DUMMYFUNCTION("IMPORTRANGE(""https://docs.google.com/spreadsheets/d/1IYY_tgx_IHuhSq3AJ5eI5OnqOPBNLWSHKh2a30DoXe8/edit?usp=sharing"",""ระนอง!I367"")"),0)</f>
        <v>0</v>
      </c>
      <c r="J472" s="195">
        <f ca="1">IFERROR(__xludf.DUMMYFUNCTION("IMPORTRANGE(""https://docs.google.com/spreadsheets/d/1IYY_tgx_IHuhSq3AJ5eI5OnqOPBNLWSHKh2a30DoXe8/edit?usp=sharing"",""ระนอง!J367"")"),0)</f>
        <v>0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IFERROR(__xludf.DUMMYFUNCTION("IMPORTRANGE(""https://docs.google.com/spreadsheets/d/1IYY_tgx_IHuhSq3AJ5eI5OnqOPBNLWSHKh2a30DoXe8/edit?usp=sharing"",""ระนอง!I368"")"),0)</f>
        <v>0</v>
      </c>
      <c r="J473" s="426">
        <f ca="1">IFERROR(__xludf.DUMMYFUNCTION("IMPORTRANGE(""https://docs.google.com/spreadsheets/d/1IYY_tgx_IHuhSq3AJ5eI5OnqOPBNLWSHKh2a30DoXe8/edit?usp=sharing"",""ระนอง!J368"")"),0)</f>
        <v>0</v>
      </c>
      <c r="K473" s="208">
        <f t="shared" ca="1" si="117"/>
        <v>0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IFERROR(__xludf.DUMMYFUNCTION("IMPORTRANGE(""https://docs.google.com/spreadsheets/d/1IYY_tgx_IHuhSq3AJ5eI5OnqOPBNLWSHKh2a30DoXe8/edit?usp=sharing"",""ระนอง!I369"")"),0)</f>
        <v>0</v>
      </c>
      <c r="J474" s="426">
        <f ca="1">IFERROR(__xludf.DUMMYFUNCTION("IMPORTRANGE(""https://docs.google.com/spreadsheets/d/1IYY_tgx_IHuhSq3AJ5eI5OnqOPBNLWSHKh2a30DoXe8/edit?usp=sharing"",""ระนอง!J369"")"),0)</f>
        <v>0</v>
      </c>
      <c r="K474" s="167">
        <f t="shared" ca="1" si="117"/>
        <v>0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IFERROR(__xludf.DUMMYFUNCTION("IMPORTRANGE(""https://docs.google.com/spreadsheets/d/1IYY_tgx_IHuhSq3AJ5eI5OnqOPBNLWSHKh2a30DoXe8/edit?usp=sharing"",""ระนอง!I370"")"),0)</f>
        <v>0</v>
      </c>
      <c r="J475" s="195">
        <f ca="1">IFERROR(__xludf.DUMMYFUNCTION("IMPORTRANGE(""https://docs.google.com/spreadsheets/d/1IYY_tgx_IHuhSq3AJ5eI5OnqOPBNLWSHKh2a30DoXe8/edit?usp=sharing"",""ระนอง!J370"")"),0)</f>
        <v>0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IFERROR(__xludf.DUMMYFUNCTION("IMPORTRANGE(""https://docs.google.com/spreadsheets/d/1IYY_tgx_IHuhSq3AJ5eI5OnqOPBNLWSHKh2a30DoXe8/edit?usp=sharing"",""ระนอง!I371"")"),0)</f>
        <v>0</v>
      </c>
      <c r="J476" s="195">
        <f ca="1">IFERROR(__xludf.DUMMYFUNCTION("IMPORTRANGE(""https://docs.google.com/spreadsheets/d/1IYY_tgx_IHuhSq3AJ5eI5OnqOPBNLWSHKh2a30DoXe8/edit?usp=sharing"",""ระนอง!J371"")"),0)</f>
        <v>0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IFERROR(__xludf.DUMMYFUNCTION("IMPORTRANGE(""https://docs.google.com/spreadsheets/d/1IYY_tgx_IHuhSq3AJ5eI5OnqOPBNLWSHKh2a30DoXe8/edit?usp=sharing"",""ระนอง!I372"")"),0)</f>
        <v>0</v>
      </c>
      <c r="J477" s="195">
        <f ca="1">IFERROR(__xludf.DUMMYFUNCTION("IMPORTRANGE(""https://docs.google.com/spreadsheets/d/1IYY_tgx_IHuhSq3AJ5eI5OnqOPBNLWSHKh2a30DoXe8/edit?usp=sharing"",""ระนอง!J372"")"),0)</f>
        <v>0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IFERROR(__xludf.DUMMYFUNCTION("IMPORTRANGE(""https://docs.google.com/spreadsheets/d/1IYY_tgx_IHuhSq3AJ5eI5OnqOPBNLWSHKh2a30DoXe8/edit?usp=sharing"",""ระนอง!I373"")"),0)</f>
        <v>0</v>
      </c>
      <c r="J478" s="195">
        <f ca="1">IFERROR(__xludf.DUMMYFUNCTION("IMPORTRANGE(""https://docs.google.com/spreadsheets/d/1IYY_tgx_IHuhSq3AJ5eI5OnqOPBNLWSHKh2a30DoXe8/edit?usp=sharing"",""ระนอง!J373"")"),0)</f>
        <v>0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IFERROR(__xludf.DUMMYFUNCTION("IMPORTRANGE(""https://docs.google.com/spreadsheets/d/1IYY_tgx_IHuhSq3AJ5eI5OnqOPBNLWSHKh2a30DoXe8/edit?usp=sharing"",""ระนอง!I374"")"),0)</f>
        <v>0</v>
      </c>
      <c r="J479" s="195">
        <f ca="1">IFERROR(__xludf.DUMMYFUNCTION("IMPORTRANGE(""https://docs.google.com/spreadsheets/d/1IYY_tgx_IHuhSq3AJ5eI5OnqOPBNLWSHKh2a30DoXe8/edit?usp=sharing"",""ระนอง!J374"")"),0)</f>
        <v>0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IFERROR(__xludf.DUMMYFUNCTION("IMPORTRANGE(""https://docs.google.com/spreadsheets/d/1IYY_tgx_IHuhSq3AJ5eI5OnqOPBNLWSHKh2a30DoXe8/edit?usp=sharing"",""ระนอง!I375"")"),0)</f>
        <v>0</v>
      </c>
      <c r="J480" s="195">
        <f ca="1">IFERROR(__xludf.DUMMYFUNCTION("IMPORTRANGE(""https://docs.google.com/spreadsheets/d/1IYY_tgx_IHuhSq3AJ5eI5OnqOPBNLWSHKh2a30DoXe8/edit?usp=sharing"",""ระนอง!J375"")"),0)</f>
        <v>0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IFERROR(__xludf.DUMMYFUNCTION("IMPORTRANGE(""https://docs.google.com/spreadsheets/d/1IYY_tgx_IHuhSq3AJ5eI5OnqOPBNLWSHKh2a30DoXe8/edit?usp=sharing"",""ระนอง!I376"")"),0)</f>
        <v>0</v>
      </c>
      <c r="J481" s="426">
        <f ca="1">IFERROR(__xludf.DUMMYFUNCTION("IMPORTRANGE(""https://docs.google.com/spreadsheets/d/1IYY_tgx_IHuhSq3AJ5eI5OnqOPBNLWSHKh2a30DoXe8/edit?usp=sharing"",""ระนอง!J376"")"),0)</f>
        <v>0</v>
      </c>
      <c r="K481" s="208">
        <f t="shared" ca="1" si="117"/>
        <v>0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IFERROR(__xludf.DUMMYFUNCTION("IMPORTRANGE(""https://docs.google.com/spreadsheets/d/1IYY_tgx_IHuhSq3AJ5eI5OnqOPBNLWSHKh2a30DoXe8/edit?usp=sharing"",""ระนอง!I377"")"),0)</f>
        <v>0</v>
      </c>
      <c r="J482" s="426">
        <f ca="1">IFERROR(__xludf.DUMMYFUNCTION("IMPORTRANGE(""https://docs.google.com/spreadsheets/d/1IYY_tgx_IHuhSq3AJ5eI5OnqOPBNLWSHKh2a30DoXe8/edit?usp=sharing"",""ระนอง!J377"")"),0)</f>
        <v>0</v>
      </c>
      <c r="K482" s="167">
        <f t="shared" ca="1" si="117"/>
        <v>0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IFERROR(__xludf.DUMMYFUNCTION("IMPORTRANGE(""https://docs.google.com/spreadsheets/d/1IYY_tgx_IHuhSq3AJ5eI5OnqOPBNLWSHKh2a30DoXe8/edit?usp=sharing"",""ระนอง!I378"")"),0)</f>
        <v>0</v>
      </c>
      <c r="J483" s="195">
        <f ca="1">IFERROR(__xludf.DUMMYFUNCTION("IMPORTRANGE(""https://docs.google.com/spreadsheets/d/1IYY_tgx_IHuhSq3AJ5eI5OnqOPBNLWSHKh2a30DoXe8/edit?usp=sharing"",""ระนอง!J378"")"),0)</f>
        <v>0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IFERROR(__xludf.DUMMYFUNCTION("IMPORTRANGE(""https://docs.google.com/spreadsheets/d/1IYY_tgx_IHuhSq3AJ5eI5OnqOPBNLWSHKh2a30DoXe8/edit?usp=sharing"",""ระนอง!I379"")"),0)</f>
        <v>0</v>
      </c>
      <c r="J484" s="195">
        <f ca="1">IFERROR(__xludf.DUMMYFUNCTION("IMPORTRANGE(""https://docs.google.com/spreadsheets/d/1IYY_tgx_IHuhSq3AJ5eI5OnqOPBNLWSHKh2a30DoXe8/edit?usp=sharing"",""ระนอง!J379"")"),0)</f>
        <v>0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IFERROR(__xludf.DUMMYFUNCTION("IMPORTRANGE(""https://docs.google.com/spreadsheets/d/1IYY_tgx_IHuhSq3AJ5eI5OnqOPBNLWSHKh2a30DoXe8/edit?usp=sharing"",""ระนอง!I380"")"),0)</f>
        <v>0</v>
      </c>
      <c r="J485" s="195">
        <f ca="1">IFERROR(__xludf.DUMMYFUNCTION("IMPORTRANGE(""https://docs.google.com/spreadsheets/d/1IYY_tgx_IHuhSq3AJ5eI5OnqOPBNLWSHKh2a30DoXe8/edit?usp=sharing"",""ระนอง!J380"")"),0)</f>
        <v>0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IFERROR(__xludf.DUMMYFUNCTION("IMPORTRANGE(""https://docs.google.com/spreadsheets/d/1IYY_tgx_IHuhSq3AJ5eI5OnqOPBNLWSHKh2a30DoXe8/edit?usp=sharing"",""ระนอง!I381"")"),0)</f>
        <v>0</v>
      </c>
      <c r="J486" s="195">
        <f ca="1">IFERROR(__xludf.DUMMYFUNCTION("IMPORTRANGE(""https://docs.google.com/spreadsheets/d/1IYY_tgx_IHuhSq3AJ5eI5OnqOPBNLWSHKh2a30DoXe8/edit?usp=sharing"",""ระนอง!J381"")"),0)</f>
        <v>0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IFERROR(__xludf.DUMMYFUNCTION("IMPORTRANGE(""https://docs.google.com/spreadsheets/d/1IYY_tgx_IHuhSq3AJ5eI5OnqOPBNLWSHKh2a30DoXe8/edit?usp=sharing"",""ระนอง!I382"")"),0)</f>
        <v>0</v>
      </c>
      <c r="J487" s="426">
        <f ca="1">IFERROR(__xludf.DUMMYFUNCTION("IMPORTRANGE(""https://docs.google.com/spreadsheets/d/1IYY_tgx_IHuhSq3AJ5eI5OnqOPBNLWSHKh2a30DoXe8/edit?usp=sharing"",""ระนอง!J382"")"),0)</f>
        <v>0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IFERROR(__xludf.DUMMYFUNCTION("IMPORTRANGE(""https://docs.google.com/spreadsheets/d/1IYY_tgx_IHuhSq3AJ5eI5OnqOPBNLWSHKh2a30DoXe8/edit?usp=sharing"",""ระนอง!I383"")"),0)</f>
        <v>0</v>
      </c>
      <c r="J488" s="426">
        <f ca="1">IFERROR(__xludf.DUMMYFUNCTION("IMPORTRANGE(""https://docs.google.com/spreadsheets/d/1IYY_tgx_IHuhSq3AJ5eI5OnqOPBNLWSHKh2a30DoXe8/edit?usp=sharing"",""ระนอง!J383"")"),0)</f>
        <v>0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IFERROR(__xludf.DUMMYFUNCTION("IMPORTRANGE(""https://docs.google.com/spreadsheets/d/1IYY_tgx_IHuhSq3AJ5eI5OnqOPBNLWSHKh2a30DoXe8/edit?usp=sharing"",""ระนอง!I384"")"),0)</f>
        <v>0</v>
      </c>
      <c r="J489" s="195">
        <f ca="1">IFERROR(__xludf.DUMMYFUNCTION("IMPORTRANGE(""https://docs.google.com/spreadsheets/d/1IYY_tgx_IHuhSq3AJ5eI5OnqOPBNLWSHKh2a30DoXe8/edit?usp=sharing"",""ระนอง!J384"")"),0)</f>
        <v>0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IFERROR(__xludf.DUMMYFUNCTION("IMPORTRANGE(""https://docs.google.com/spreadsheets/d/1IYY_tgx_IHuhSq3AJ5eI5OnqOPBNLWSHKh2a30DoXe8/edit?usp=sharing"",""ระนอง!I385"")"),0)</f>
        <v>0</v>
      </c>
      <c r="J490" s="195">
        <f ca="1">IFERROR(__xludf.DUMMYFUNCTION("IMPORTRANGE(""https://docs.google.com/spreadsheets/d/1IYY_tgx_IHuhSq3AJ5eI5OnqOPBNLWSHKh2a30DoXe8/edit?usp=sharing"",""ระนอง!J385"")"),0)</f>
        <v>0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IFERROR(__xludf.DUMMYFUNCTION("IMPORTRANGE(""https://docs.google.com/spreadsheets/d/1IYY_tgx_IHuhSq3AJ5eI5OnqOPBNLWSHKh2a30DoXe8/edit?usp=sharing"",""ระนอง!I386"")"),0)</f>
        <v>0</v>
      </c>
      <c r="J491" s="195">
        <f ca="1">IFERROR(__xludf.DUMMYFUNCTION("IMPORTRANGE(""https://docs.google.com/spreadsheets/d/1IYY_tgx_IHuhSq3AJ5eI5OnqOPBNLWSHKh2a30DoXe8/edit?usp=sharing"",""ระนอง!J386"")"),0)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IFERROR(__xludf.DUMMYFUNCTION("IMPORTRANGE(""https://docs.google.com/spreadsheets/d/1IYY_tgx_IHuhSq3AJ5eI5OnqOPBNLWSHKh2a30DoXe8/edit?usp=sharing"",""ระนอง!I387"")"),0)</f>
        <v>0</v>
      </c>
      <c r="J492" s="195">
        <f ca="1">IFERROR(__xludf.DUMMYFUNCTION("IMPORTRANGE(""https://docs.google.com/spreadsheets/d/1IYY_tgx_IHuhSq3AJ5eI5OnqOPBNLWSHKh2a30DoXe8/edit?usp=sharing"",""ระนอง!J387"")"),0)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IFERROR(__xludf.DUMMYFUNCTION("IMPORTRANGE(""https://docs.google.com/spreadsheets/d/1IYY_tgx_IHuhSq3AJ5eI5OnqOPBNLWSHKh2a30DoXe8/edit?usp=sharing"",""ระนอง!I388"")"),0)</f>
        <v>0</v>
      </c>
      <c r="J493" s="195">
        <f ca="1">IFERROR(__xludf.DUMMYFUNCTION("IMPORTRANGE(""https://docs.google.com/spreadsheets/d/1IYY_tgx_IHuhSq3AJ5eI5OnqOPBNLWSHKh2a30DoXe8/edit?usp=sharing"",""ระนอง!J388"")"),0)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IFERROR(__xludf.DUMMYFUNCTION("IMPORTRANGE(""https://docs.google.com/spreadsheets/d/1IYY_tgx_IHuhSq3AJ5eI5OnqOPBNLWSHKh2a30DoXe8/edit?usp=sharing"",""ระนอง!I389"")"),0)</f>
        <v>0</v>
      </c>
      <c r="J494" s="442">
        <f ca="1">IFERROR(__xludf.DUMMYFUNCTION("IMPORTRANGE(""https://docs.google.com/spreadsheets/d/1IYY_tgx_IHuhSq3AJ5eI5OnqOPBNLWSHKh2a30DoXe8/edit?usp=sharing"",""ระนอง!J389"")"),0)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IFERROR(__xludf.DUMMYFUNCTION("IMPORTRANGE(""https://docs.google.com/spreadsheets/d/1IYY_tgx_IHuhSq3AJ5eI5OnqOPBNLWSHKh2a30DoXe8/edit?usp=sharing"",""ระนอง!I390"")"),0)</f>
        <v>0</v>
      </c>
      <c r="J495" s="442">
        <f ca="1">IFERROR(__xludf.DUMMYFUNCTION("IMPORTRANGE(""https://docs.google.com/spreadsheets/d/1IYY_tgx_IHuhSq3AJ5eI5OnqOPBNLWSHKh2a30DoXe8/edit?usp=sharing"",""ระนอง!J390"")"),0)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IFERROR(__xludf.DUMMYFUNCTION("IMPORTRANGE(""https://docs.google.com/spreadsheets/d/1IYY_tgx_IHuhSq3AJ5eI5OnqOPBNLWSHKh2a30DoXe8/edit?usp=sharing"",""ระนอง!I391"")"),0)</f>
        <v>0</v>
      </c>
      <c r="J496" s="442">
        <f ca="1">IFERROR(__xludf.DUMMYFUNCTION("IMPORTRANGE(""https://docs.google.com/spreadsheets/d/1IYY_tgx_IHuhSq3AJ5eI5OnqOPBNLWSHKh2a30DoXe8/edit?usp=sharing"",""ระนอง!J391"")"),0)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IFERROR(__xludf.DUMMYFUNCTION("IMPORTRANGE(""https://docs.google.com/spreadsheets/d/1IYY_tgx_IHuhSq3AJ5eI5OnqOPBNLWSHKh2a30DoXe8/edit?usp=sharing"",""ระนอง!I392"")"),563)</f>
        <v>563</v>
      </c>
      <c r="J497" s="449">
        <f ca="1">IFERROR(__xludf.DUMMYFUNCTION("IMPORTRANGE(""https://docs.google.com/spreadsheets/d/1IYY_tgx_IHuhSq3AJ5eI5OnqOPBNLWSHKh2a30DoXe8/edit?usp=sharing"",""ระนอง!J392"")"),563)</f>
        <v>563</v>
      </c>
      <c r="K497" s="450">
        <f t="shared" ca="1" si="117"/>
        <v>100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IFERROR(__xludf.DUMMYFUNCTION("IMPORTRANGE(""https://docs.google.com/spreadsheets/d/1IYY_tgx_IHuhSq3AJ5eI5OnqOPBNLWSHKh2a30DoXe8/edit?usp=sharing"",""ระนอง!I393"")"),563)</f>
        <v>563</v>
      </c>
      <c r="J498" s="426">
        <f ca="1">IFERROR(__xludf.DUMMYFUNCTION("IMPORTRANGE(""https://docs.google.com/spreadsheets/d/1IYY_tgx_IHuhSq3AJ5eI5OnqOPBNLWSHKh2a30DoXe8/edit?usp=sharing"",""ระนอง!J393"")"),563)</f>
        <v>563</v>
      </c>
      <c r="K498" s="208">
        <f t="shared" ca="1" si="117"/>
        <v>100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IFERROR(__xludf.DUMMYFUNCTION("IMPORTRANGE(""https://docs.google.com/spreadsheets/d/1IYY_tgx_IHuhSq3AJ5eI5OnqOPBNLWSHKh2a30DoXe8/edit?usp=sharing"",""ระนอง!I394"")"),72)</f>
        <v>72</v>
      </c>
      <c r="J499" s="426">
        <f ca="1">IFERROR(__xludf.DUMMYFUNCTION("IMPORTRANGE(""https://docs.google.com/spreadsheets/d/1IYY_tgx_IHuhSq3AJ5eI5OnqOPBNLWSHKh2a30DoXe8/edit?usp=sharing"",""ระนอง!J394"")"),72)</f>
        <v>72</v>
      </c>
      <c r="K499" s="208">
        <f t="shared" ca="1" si="117"/>
        <v>100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IFERROR(__xludf.DUMMYFUNCTION("IMPORTRANGE(""https://docs.google.com/spreadsheets/d/1IYY_tgx_IHuhSq3AJ5eI5OnqOPBNLWSHKh2a30DoXe8/edit?usp=sharing"",""ระนอง!I395"")"),0)</f>
        <v>0</v>
      </c>
      <c r="J500" s="166">
        <f ca="1">IFERROR(__xludf.DUMMYFUNCTION("IMPORTRANGE(""https://docs.google.com/spreadsheets/d/1IYY_tgx_IHuhSq3AJ5eI5OnqOPBNLWSHKh2a30DoXe8/edit?usp=sharing"",""ระนอง!J395"")"),535)</f>
        <v>535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IFERROR(__xludf.DUMMYFUNCTION("IMPORTRANGE(""https://docs.google.com/spreadsheets/d/1IYY_tgx_IHuhSq3AJ5eI5OnqOPBNLWSHKh2a30DoXe8/edit?usp=sharing"",""ระนอง!I396"")"),0)</f>
        <v>0</v>
      </c>
      <c r="J501" s="166">
        <f ca="1">IFERROR(__xludf.DUMMYFUNCTION("IMPORTRANGE(""https://docs.google.com/spreadsheets/d/1IYY_tgx_IHuhSq3AJ5eI5OnqOPBNLWSHKh2a30DoXe8/edit?usp=sharing"",""ระนอง!J396"")"),69)</f>
        <v>69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IFERROR(__xludf.DUMMYFUNCTION("IMPORTRANGE(""https://docs.google.com/spreadsheets/d/1IYY_tgx_IHuhSq3AJ5eI5OnqOPBNLWSHKh2a30DoXe8/edit?usp=sharing"",""ระนอง!I397"")"),0)</f>
        <v>0</v>
      </c>
      <c r="J502" s="195">
        <f ca="1">IFERROR(__xludf.DUMMYFUNCTION("IMPORTRANGE(""https://docs.google.com/spreadsheets/d/1IYY_tgx_IHuhSq3AJ5eI5OnqOPBNLWSHKh2a30DoXe8/edit?usp=sharing"",""ระนอง!J397"")"),376)</f>
        <v>376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IFERROR(__xludf.DUMMYFUNCTION("IMPORTRANGE(""https://docs.google.com/spreadsheets/d/1IYY_tgx_IHuhSq3AJ5eI5OnqOPBNLWSHKh2a30DoXe8/edit?usp=sharing"",""ระนอง!I398"")"),0)</f>
        <v>0</v>
      </c>
      <c r="J503" s="204">
        <f ca="1">IFERROR(__xludf.DUMMYFUNCTION("IMPORTRANGE(""https://docs.google.com/spreadsheets/d/1IYY_tgx_IHuhSq3AJ5eI5OnqOPBNLWSHKh2a30DoXe8/edit?usp=sharing"",""ระนอง!J398"")"),46)</f>
        <v>46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IFERROR(__xludf.DUMMYFUNCTION("IMPORTRANGE(""https://docs.google.com/spreadsheets/d/1IYY_tgx_IHuhSq3AJ5eI5OnqOPBNLWSHKh2a30DoXe8/edit?usp=sharing"",""ระนอง!I399"")"),0)</f>
        <v>0</v>
      </c>
      <c r="J504" s="195">
        <f ca="1">IFERROR(__xludf.DUMMYFUNCTION("IMPORTRANGE(""https://docs.google.com/spreadsheets/d/1IYY_tgx_IHuhSq3AJ5eI5OnqOPBNLWSHKh2a30DoXe8/edit?usp=sharing"",""ระนอง!J399"")"),159)</f>
        <v>159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IFERROR(__xludf.DUMMYFUNCTION("IMPORTRANGE(""https://docs.google.com/spreadsheets/d/1IYY_tgx_IHuhSq3AJ5eI5OnqOPBNLWSHKh2a30DoXe8/edit?usp=sharing"",""ระนอง!I400"")"),0)</f>
        <v>0</v>
      </c>
      <c r="J505" s="204">
        <f ca="1">IFERROR(__xludf.DUMMYFUNCTION("IMPORTRANGE(""https://docs.google.com/spreadsheets/d/1IYY_tgx_IHuhSq3AJ5eI5OnqOPBNLWSHKh2a30DoXe8/edit?usp=sharing"",""ระนอง!J400"")"),23)</f>
        <v>23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IFERROR(__xludf.DUMMYFUNCTION("IMPORTRANGE(""https://docs.google.com/spreadsheets/d/1IYY_tgx_IHuhSq3AJ5eI5OnqOPBNLWSHKh2a30DoXe8/edit?usp=sharing"",""ระนอง!I401"")"),0)</f>
        <v>0</v>
      </c>
      <c r="J506" s="195">
        <f ca="1">IFERROR(__xludf.DUMMYFUNCTION("IMPORTRANGE(""https://docs.google.com/spreadsheets/d/1IYY_tgx_IHuhSq3AJ5eI5OnqOPBNLWSHKh2a30DoXe8/edit?usp=sharing"",""ระนอง!J401"")"),0)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IFERROR(__xludf.DUMMYFUNCTION("IMPORTRANGE(""https://docs.google.com/spreadsheets/d/1IYY_tgx_IHuhSq3AJ5eI5OnqOPBNLWSHKh2a30DoXe8/edit?usp=sharing"",""ระนอง!I402"")"),0)</f>
        <v>0</v>
      </c>
      <c r="J507" s="204">
        <f ca="1">IFERROR(__xludf.DUMMYFUNCTION("IMPORTRANGE(""https://docs.google.com/spreadsheets/d/1IYY_tgx_IHuhSq3AJ5eI5OnqOPBNLWSHKh2a30DoXe8/edit?usp=sharing"",""ระนอง!J402"")"),0)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IFERROR(__xludf.DUMMYFUNCTION("IMPORTRANGE(""https://docs.google.com/spreadsheets/d/1IYY_tgx_IHuhSq3AJ5eI5OnqOPBNLWSHKh2a30DoXe8/edit?usp=sharing"",""ระนอง!I403"")"),0)</f>
        <v>0</v>
      </c>
      <c r="J508" s="166">
        <f ca="1">IFERROR(__xludf.DUMMYFUNCTION("IMPORTRANGE(""https://docs.google.com/spreadsheets/d/1IYY_tgx_IHuhSq3AJ5eI5OnqOPBNLWSHKh2a30DoXe8/edit?usp=sharing"",""ระนอง!J403"")"),28)</f>
        <v>28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IFERROR(__xludf.DUMMYFUNCTION("IMPORTRANGE(""https://docs.google.com/spreadsheets/d/1IYY_tgx_IHuhSq3AJ5eI5OnqOPBNLWSHKh2a30DoXe8/edit?usp=sharing"",""ระนอง!I404"")"),0)</f>
        <v>0</v>
      </c>
      <c r="J509" s="166">
        <f ca="1">IFERROR(__xludf.DUMMYFUNCTION("IMPORTRANGE(""https://docs.google.com/spreadsheets/d/1IYY_tgx_IHuhSq3AJ5eI5OnqOPBNLWSHKh2a30DoXe8/edit?usp=sharing"",""ระนอง!J404"")"),3)</f>
        <v>3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IFERROR(__xludf.DUMMYFUNCTION("IMPORTRANGE(""https://docs.google.com/spreadsheets/d/1IYY_tgx_IHuhSq3AJ5eI5OnqOPBNLWSHKh2a30DoXe8/edit?usp=sharing"",""ระนอง!I405"")"),0)</f>
        <v>0</v>
      </c>
      <c r="J510" s="204">
        <f ca="1">IFERROR(__xludf.DUMMYFUNCTION("IMPORTRANGE(""https://docs.google.com/spreadsheets/d/1IYY_tgx_IHuhSq3AJ5eI5OnqOPBNLWSHKh2a30DoXe8/edit?usp=sharing"",""ระนอง!J405"")"),12)</f>
        <v>12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IFERROR(__xludf.DUMMYFUNCTION("IMPORTRANGE(""https://docs.google.com/spreadsheets/d/1IYY_tgx_IHuhSq3AJ5eI5OnqOPBNLWSHKh2a30DoXe8/edit?usp=sharing"",""ระนอง!I406"")"),0)</f>
        <v>0</v>
      </c>
      <c r="J511" s="204">
        <f ca="1">IFERROR(__xludf.DUMMYFUNCTION("IMPORTRANGE(""https://docs.google.com/spreadsheets/d/1IYY_tgx_IHuhSq3AJ5eI5OnqOPBNLWSHKh2a30DoXe8/edit?usp=sharing"",""ระนอง!J406"")"),1)</f>
        <v>1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IFERROR(__xludf.DUMMYFUNCTION("IMPORTRANGE(""https://docs.google.com/spreadsheets/d/1IYY_tgx_IHuhSq3AJ5eI5OnqOPBNLWSHKh2a30DoXe8/edit?usp=sharing"",""ระนอง!I407"")"),0)</f>
        <v>0</v>
      </c>
      <c r="J512" s="204">
        <f ca="1">IFERROR(__xludf.DUMMYFUNCTION("IMPORTRANGE(""https://docs.google.com/spreadsheets/d/1IYY_tgx_IHuhSq3AJ5eI5OnqOPBNLWSHKh2a30DoXe8/edit?usp=sharing"",""ระนอง!J407"")"),16)</f>
        <v>16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IFERROR(__xludf.DUMMYFUNCTION("IMPORTRANGE(""https://docs.google.com/spreadsheets/d/1IYY_tgx_IHuhSq3AJ5eI5OnqOPBNLWSHKh2a30DoXe8/edit?usp=sharing"",""ระนอง!I408"")"),0)</f>
        <v>0</v>
      </c>
      <c r="J513" s="204">
        <f ca="1">IFERROR(__xludf.DUMMYFUNCTION("IMPORTRANGE(""https://docs.google.com/spreadsheets/d/1IYY_tgx_IHuhSq3AJ5eI5OnqOPBNLWSHKh2a30DoXe8/edit?usp=sharing"",""ระนอง!J408"")"),2)</f>
        <v>2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IFERROR(__xludf.DUMMYFUNCTION("IMPORTRANGE(""https://docs.google.com/spreadsheets/d/1IYY_tgx_IHuhSq3AJ5eI5OnqOPBNLWSHKh2a30DoXe8/edit?usp=sharing"",""ระนอง!I409"")"),0)</f>
        <v>0</v>
      </c>
      <c r="J514" s="204">
        <f ca="1">IFERROR(__xludf.DUMMYFUNCTION("IMPORTRANGE(""https://docs.google.com/spreadsheets/d/1IYY_tgx_IHuhSq3AJ5eI5OnqOPBNLWSHKh2a30DoXe8/edit?usp=sharing"",""ระนอง!J409"")"),0)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IFERROR(__xludf.DUMMYFUNCTION("IMPORTRANGE(""https://docs.google.com/spreadsheets/d/1IYY_tgx_IHuhSq3AJ5eI5OnqOPBNLWSHKh2a30DoXe8/edit?usp=sharing"",""ระนอง!I410"")"),0)</f>
        <v>0</v>
      </c>
      <c r="J515" s="204">
        <f ca="1">IFERROR(__xludf.DUMMYFUNCTION("IMPORTRANGE(""https://docs.google.com/spreadsheets/d/1IYY_tgx_IHuhSq3AJ5eI5OnqOPBNLWSHKh2a30DoXe8/edit?usp=sharing"",""ระนอง!J410"")"),0)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IFERROR(__xludf.DUMMYFUNCTION("IMPORTRANGE(""https://docs.google.com/spreadsheets/d/1IYY_tgx_IHuhSq3AJ5eI5OnqOPBNLWSHKh2a30DoXe8/edit?usp=sharing"",""ระนอง!I411"")"),0)</f>
        <v>0</v>
      </c>
      <c r="J516" s="273">
        <f ca="1">IFERROR(__xludf.DUMMYFUNCTION("IMPORTRANGE(""https://docs.google.com/spreadsheets/d/1IYY_tgx_IHuhSq3AJ5eI5OnqOPBNLWSHKh2a30DoXe8/edit?usp=sharing"",""ระนอง!J411"")"),0)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IFERROR(__xludf.DUMMYFUNCTION("IMPORTRANGE(""https://docs.google.com/spreadsheets/d/1IYY_tgx_IHuhSq3AJ5eI5OnqOPBNLWSHKh2a30DoXe8/edit?usp=sharing"",""ระนอง!I412"")"),0)</f>
        <v>0</v>
      </c>
      <c r="J517" s="290">
        <f ca="1">IFERROR(__xludf.DUMMYFUNCTION("IMPORTRANGE(""https://docs.google.com/spreadsheets/d/1IYY_tgx_IHuhSq3AJ5eI5OnqOPBNLWSHKh2a30DoXe8/edit?usp=sharing"",""ระนอง!J412"")"),0)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IFERROR(__xludf.DUMMYFUNCTION("IMPORTRANGE(""https://docs.google.com/spreadsheets/d/1IYY_tgx_IHuhSq3AJ5eI5OnqOPBNLWSHKh2a30DoXe8/edit?usp=sharing"",""ระนอง!I413"")"),0)</f>
        <v>0</v>
      </c>
      <c r="J518" s="290">
        <f ca="1">IFERROR(__xludf.DUMMYFUNCTION("IMPORTRANGE(""https://docs.google.com/spreadsheets/d/1IYY_tgx_IHuhSq3AJ5eI5OnqOPBNLWSHKh2a30DoXe8/edit?usp=sharing"",""ระนอง!J413"")"),0)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IFERROR(__xludf.DUMMYFUNCTION("IMPORTRANGE(""https://docs.google.com/spreadsheets/d/1IYY_tgx_IHuhSq3AJ5eI5OnqOPBNLWSHKh2a30DoXe8/edit?usp=sharing"",""ระนอง!I414"")"),0)</f>
        <v>0</v>
      </c>
      <c r="J519" s="194">
        <f ca="1">IFERROR(__xludf.DUMMYFUNCTION("IMPORTRANGE(""https://docs.google.com/spreadsheets/d/1IYY_tgx_IHuhSq3AJ5eI5OnqOPBNLWSHKh2a30DoXe8/edit?usp=sharing"",""ระนอง!J414"")"),0)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IFERROR(__xludf.DUMMYFUNCTION("IMPORTRANGE(""https://docs.google.com/spreadsheets/d/1IYY_tgx_IHuhSq3AJ5eI5OnqOPBNLWSHKh2a30DoXe8/edit?usp=sharing"",""ระนอง!I415"")"),0)</f>
        <v>0</v>
      </c>
      <c r="J520" s="194">
        <f ca="1">IFERROR(__xludf.DUMMYFUNCTION("IMPORTRANGE(""https://docs.google.com/spreadsheets/d/1IYY_tgx_IHuhSq3AJ5eI5OnqOPBNLWSHKh2a30DoXe8/edit?usp=sharing"",""ระนอง!J415"")"),0)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IFERROR(__xludf.DUMMYFUNCTION("IMPORTRANGE(""https://docs.google.com/spreadsheets/d/1IYY_tgx_IHuhSq3AJ5eI5OnqOPBNLWSHKh2a30DoXe8/edit?usp=sharing"",""ระนอง!I416"")"),0)</f>
        <v>0</v>
      </c>
      <c r="J521" s="194">
        <f ca="1">IFERROR(__xludf.DUMMYFUNCTION("IMPORTRANGE(""https://docs.google.com/spreadsheets/d/1IYY_tgx_IHuhSq3AJ5eI5OnqOPBNLWSHKh2a30DoXe8/edit?usp=sharing"",""ระนอง!J416"")"),0)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IFERROR(__xludf.DUMMYFUNCTION("IMPORTRANGE(""https://docs.google.com/spreadsheets/d/1IYY_tgx_IHuhSq3AJ5eI5OnqOPBNLWSHKh2a30DoXe8/edit?usp=sharing"",""ระนอง!I417"")"),0)</f>
        <v>0</v>
      </c>
      <c r="J522" s="194">
        <f ca="1">IFERROR(__xludf.DUMMYFUNCTION("IMPORTRANGE(""https://docs.google.com/spreadsheets/d/1IYY_tgx_IHuhSq3AJ5eI5OnqOPBNLWSHKh2a30DoXe8/edit?usp=sharing"",""ระนอง!J417"")"),0)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IFERROR(__xludf.DUMMYFUNCTION("IMPORTRANGE(""https://docs.google.com/spreadsheets/d/1IYY_tgx_IHuhSq3AJ5eI5OnqOPBNLWSHKh2a30DoXe8/edit?usp=sharing"",""ระนอง!I418"")"),0)</f>
        <v>0</v>
      </c>
      <c r="J523" s="194">
        <f ca="1">IFERROR(__xludf.DUMMYFUNCTION("IMPORTRANGE(""https://docs.google.com/spreadsheets/d/1IYY_tgx_IHuhSq3AJ5eI5OnqOPBNLWSHKh2a30DoXe8/edit?usp=sharing"",""ระนอง!J418"")"),0)</f>
        <v>0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IFERROR(__xludf.DUMMYFUNCTION("IMPORTRANGE(""https://docs.google.com/spreadsheets/d/1IYY_tgx_IHuhSq3AJ5eI5OnqOPBNLWSHKh2a30DoXe8/edit?usp=sharing"",""ระนอง!I419"")"),0)</f>
        <v>0</v>
      </c>
      <c r="J524" s="194">
        <f ca="1">IFERROR(__xludf.DUMMYFUNCTION("IMPORTRANGE(""https://docs.google.com/spreadsheets/d/1IYY_tgx_IHuhSq3AJ5eI5OnqOPBNLWSHKh2a30DoXe8/edit?usp=sharing"",""ระนอง!J419"")"),0)</f>
        <v>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IFERROR(__xludf.DUMMYFUNCTION("IMPORTRANGE(""https://docs.google.com/spreadsheets/d/1IYY_tgx_IHuhSq3AJ5eI5OnqOPBNLWSHKh2a30DoXe8/edit?usp=sharing"",""ระนอง!I420"")"),0)</f>
        <v>0</v>
      </c>
      <c r="J525" s="290">
        <f ca="1">IFERROR(__xludf.DUMMYFUNCTION("IMPORTRANGE(""https://docs.google.com/spreadsheets/d/1IYY_tgx_IHuhSq3AJ5eI5OnqOPBNLWSHKh2a30DoXe8/edit?usp=sharing"",""ระนอง!J420"")"),0)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IFERROR(__xludf.DUMMYFUNCTION("IMPORTRANGE(""https://docs.google.com/spreadsheets/d/1IYY_tgx_IHuhSq3AJ5eI5OnqOPBNLWSHKh2a30DoXe8/edit?usp=sharing"",""ระนอง!I421"")"),0)</f>
        <v>0</v>
      </c>
      <c r="J526" s="290">
        <f ca="1">IFERROR(__xludf.DUMMYFUNCTION("IMPORTRANGE(""https://docs.google.com/spreadsheets/d/1IYY_tgx_IHuhSq3AJ5eI5OnqOPBNLWSHKh2a30DoXe8/edit?usp=sharing"",""ระนอง!J421"")"),0)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IFERROR(__xludf.DUMMYFUNCTION("IMPORTRANGE(""https://docs.google.com/spreadsheets/d/1IYY_tgx_IHuhSq3AJ5eI5OnqOPBNLWSHKh2a30DoXe8/edit?usp=sharing"",""ระนอง!I422"")"),0)</f>
        <v>0</v>
      </c>
      <c r="J527" s="204">
        <f ca="1">IFERROR(__xludf.DUMMYFUNCTION("IMPORTRANGE(""https://docs.google.com/spreadsheets/d/1IYY_tgx_IHuhSq3AJ5eI5OnqOPBNLWSHKh2a30DoXe8/edit?usp=sharing"",""ระนอง!J422"")"),0)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IFERROR(__xludf.DUMMYFUNCTION("IMPORTRANGE(""https://docs.google.com/spreadsheets/d/1IYY_tgx_IHuhSq3AJ5eI5OnqOPBNLWSHKh2a30DoXe8/edit?usp=sharing"",""ระนอง!I423"")"),0)</f>
        <v>0</v>
      </c>
      <c r="J528" s="204">
        <f ca="1">IFERROR(__xludf.DUMMYFUNCTION("IMPORTRANGE(""https://docs.google.com/spreadsheets/d/1IYY_tgx_IHuhSq3AJ5eI5OnqOPBNLWSHKh2a30DoXe8/edit?usp=sharing"",""ระนอง!J423"")"),0)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IFERROR(__xludf.DUMMYFUNCTION("IMPORTRANGE(""https://docs.google.com/spreadsheets/d/1IYY_tgx_IHuhSq3AJ5eI5OnqOPBNLWSHKh2a30DoXe8/edit?usp=sharing"",""ระนอง!I424"")"),0)</f>
        <v>0</v>
      </c>
      <c r="J529" s="204">
        <f ca="1">IFERROR(__xludf.DUMMYFUNCTION("IMPORTRANGE(""https://docs.google.com/spreadsheets/d/1IYY_tgx_IHuhSq3AJ5eI5OnqOPBNLWSHKh2a30DoXe8/edit?usp=sharing"",""ระนอง!J424"")"),0)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IFERROR(__xludf.DUMMYFUNCTION("IMPORTRANGE(""https://docs.google.com/spreadsheets/d/1IYY_tgx_IHuhSq3AJ5eI5OnqOPBNLWSHKh2a30DoXe8/edit?usp=sharing"",""ระนอง!I425"")"),0)</f>
        <v>0</v>
      </c>
      <c r="J530" s="204">
        <f ca="1">IFERROR(__xludf.DUMMYFUNCTION("IMPORTRANGE(""https://docs.google.com/spreadsheets/d/1IYY_tgx_IHuhSq3AJ5eI5OnqOPBNLWSHKh2a30DoXe8/edit?usp=sharing"",""ระนอง!J425"")"),0)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IFERROR(__xludf.DUMMYFUNCTION("IMPORTRANGE(""https://docs.google.com/spreadsheets/d/1IYY_tgx_IHuhSq3AJ5eI5OnqOPBNLWSHKh2a30DoXe8/edit?usp=sharing"",""ระนอง!I426"")"),0)</f>
        <v>0</v>
      </c>
      <c r="J531" s="204">
        <f ca="1">IFERROR(__xludf.DUMMYFUNCTION("IMPORTRANGE(""https://docs.google.com/spreadsheets/d/1IYY_tgx_IHuhSq3AJ5eI5OnqOPBNLWSHKh2a30DoXe8/edit?usp=sharing"",""ระนอง!J426"")"),0)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IFERROR(__xludf.DUMMYFUNCTION("IMPORTRANGE(""https://docs.google.com/spreadsheets/d/1IYY_tgx_IHuhSq3AJ5eI5OnqOPBNLWSHKh2a30DoXe8/edit?usp=sharing"",""ระนอง!I427"")"),0)</f>
        <v>0</v>
      </c>
      <c r="J532" s="472">
        <f ca="1">IFERROR(__xludf.DUMMYFUNCTION("IMPORTRANGE(""https://docs.google.com/spreadsheets/d/1IYY_tgx_IHuhSq3AJ5eI5OnqOPBNLWSHKh2a30DoXe8/edit?usp=sharing"",""ระนอง!J427"")"),0)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IFERROR(__xludf.DUMMYFUNCTION("IMPORTRANGE(""https://docs.google.com/spreadsheets/d/1IYY_tgx_IHuhSq3AJ5eI5OnqOPBNLWSHKh2a30DoXe8/edit?usp=sharing"",""ระนอง!I428"")"),20)</f>
        <v>20</v>
      </c>
      <c r="J533" s="416">
        <f ca="1">IFERROR(__xludf.DUMMYFUNCTION("IMPORTRANGE(""https://docs.google.com/spreadsheets/d/1IYY_tgx_IHuhSq3AJ5eI5OnqOPBNLWSHKh2a30DoXe8/edit?usp=sharing"",""ระนอง!J428"")"),20)</f>
        <v>20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IFERROR(__xludf.DUMMYFUNCTION("IMPORTRANGE(""https://docs.google.com/spreadsheets/d/1IYY_tgx_IHuhSq3AJ5eI5OnqOPBNLWSHKh2a30DoXe8/edit?usp=sharing"",""ระนอง!L428"")"),32640)</f>
        <v>32640</v>
      </c>
      <c r="M533" s="418"/>
      <c r="N533" s="418">
        <f ca="1">IFERROR(__xludf.DUMMYFUNCTION("IMPORTRANGE(""https://docs.google.com/spreadsheets/d/1IYY_tgx_IHuhSq3AJ5eI5OnqOPBNLWSHKh2a30DoXe8/edit?usp=sharing"",""ระนอง!M428"")"),32640)</f>
        <v>32640</v>
      </c>
      <c r="O533" s="418">
        <f t="shared" ref="O533:O537" ca="1" si="118">+IF(L533&gt;0,N533*100/L533,0)</f>
        <v>100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IFERROR(__xludf.DUMMYFUNCTION("IMPORTRANGE(""https://docs.google.com/spreadsheets/d/1IYY_tgx_IHuhSq3AJ5eI5OnqOPBNLWSHKh2a30DoXe8/edit?usp=sharing"",""ระนอง!L429"")"),0)</f>
        <v>0</v>
      </c>
      <c r="M534" s="168"/>
      <c r="N534" s="175">
        <f ca="1">IFERROR(__xludf.DUMMYFUNCTION("IMPORTRANGE(""https://docs.google.com/spreadsheets/d/1IYY_tgx_IHuhSq3AJ5eI5OnqOPBNLWSHKh2a30DoXe8/edit?usp=sharing"",""ระนอง!M429"")"),0)</f>
        <v>0</v>
      </c>
      <c r="O534" s="175">
        <f t="shared" ca="1" si="118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IFERROR(__xludf.DUMMYFUNCTION("IMPORTRANGE(""https://docs.google.com/spreadsheets/d/1IYY_tgx_IHuhSq3AJ5eI5OnqOPBNLWSHKh2a30DoXe8/edit?usp=sharing"",""ระนอง!L430"")"),32640)</f>
        <v>32640</v>
      </c>
      <c r="M535" s="169"/>
      <c r="N535" s="175">
        <f ca="1">IFERROR(__xludf.DUMMYFUNCTION("IMPORTRANGE(""https://docs.google.com/spreadsheets/d/1IYY_tgx_IHuhSq3AJ5eI5OnqOPBNLWSHKh2a30DoXe8/edit?usp=sharing"",""ระนอง!M430"")"),32640)</f>
        <v>32640</v>
      </c>
      <c r="O535" s="175">
        <f t="shared" ca="1" si="118"/>
        <v>100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IFERROR(__xludf.DUMMYFUNCTION("IMPORTRANGE(""https://docs.google.com/spreadsheets/d/1IYY_tgx_IHuhSq3AJ5eI5OnqOPBNLWSHKh2a30DoXe8/edit?usp=sharing"",""ระนอง!L431"")"),0)</f>
        <v>0</v>
      </c>
      <c r="M536" s="175"/>
      <c r="N536" s="175">
        <f ca="1">IFERROR(__xludf.DUMMYFUNCTION("IMPORTRANGE(""https://docs.google.com/spreadsheets/d/1IYY_tgx_IHuhSq3AJ5eI5OnqOPBNLWSHKh2a30DoXe8/edit?usp=sharing"",""ระนอง!M431"")"),0)</f>
        <v>0</v>
      </c>
      <c r="O536" s="175">
        <f t="shared" ca="1" si="118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IFERROR(__xludf.DUMMYFUNCTION("IMPORTRANGE(""https://docs.google.com/spreadsheets/d/1IYY_tgx_IHuhSq3AJ5eI5OnqOPBNLWSHKh2a30DoXe8/edit?usp=sharing"",""ระนอง!L432"")"),32640)</f>
        <v>32640</v>
      </c>
      <c r="M537" s="175"/>
      <c r="N537" s="175">
        <f ca="1">IFERROR(__xludf.DUMMYFUNCTION("IMPORTRANGE(""https://docs.google.com/spreadsheets/d/1IYY_tgx_IHuhSq3AJ5eI5OnqOPBNLWSHKh2a30DoXe8/edit?usp=sharing"",""ระนอง!M432"")"),32640)</f>
        <v>32640</v>
      </c>
      <c r="O537" s="175">
        <f t="shared" ca="1" si="118"/>
        <v>100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IFERROR(__xludf.DUMMYFUNCTION("IMPORTRANGE(""https://docs.google.com/spreadsheets/d/1IYY_tgx_IHuhSq3AJ5eI5OnqOPBNLWSHKh2a30DoXe8/edit?usp=sharing"",""ระนอง!M433"")"),28980)</f>
        <v>28980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IFERROR(__xludf.DUMMYFUNCTION("IMPORTRANGE(""https://docs.google.com/spreadsheets/d/1IYY_tgx_IHuhSq3AJ5eI5OnqOPBNLWSHKh2a30DoXe8/edit?usp=sharing"",""ระนอง!M434"")"),0)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IFERROR(__xludf.DUMMYFUNCTION("IMPORTRANGE(""https://docs.google.com/spreadsheets/d/1IYY_tgx_IHuhSq3AJ5eI5OnqOPBNLWSHKh2a30DoXe8/edit?usp=sharing"",""ระนอง!M435"")"),0)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IFERROR(__xludf.DUMMYFUNCTION("IMPORTRANGE(""https://docs.google.com/spreadsheets/d/1IYY_tgx_IHuhSq3AJ5eI5OnqOPBNLWSHKh2a30DoXe8/edit?usp=sharing"",""ระนอง!M436"")"),3660)</f>
        <v>3660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IFERROR(__xludf.DUMMYFUNCTION("IMPORTRANGE(""https://docs.google.com/spreadsheets/d/1IYY_tgx_IHuhSq3AJ5eI5OnqOPBNLWSHKh2a30DoXe8/edit?usp=sharing"",""ระนอง!J438"")"),0)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IFERROR(__xludf.DUMMYFUNCTION("IMPORTRANGE(""https://docs.google.com/spreadsheets/d/1IYY_tgx_IHuhSq3AJ5eI5OnqOPBNLWSHKh2a30DoXe8/edit?usp=sharing"",""ระนอง!J439"")"),1)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IFERROR(__xludf.DUMMYFUNCTION("IMPORTRANGE(""https://docs.google.com/spreadsheets/d/1IYY_tgx_IHuhSq3AJ5eI5OnqOPBNLWSHKh2a30DoXe8/edit?usp=sharing"",""ระนอง!J440"")"),1)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IFERROR(__xludf.DUMMYFUNCTION("IMPORTRANGE(""https://docs.google.com/spreadsheets/d/1IYY_tgx_IHuhSq3AJ5eI5OnqOPBNLWSHKh2a30DoXe8/edit?usp=sharing"",""ระนอง!J441"")"),1)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IFERROR(__xludf.DUMMYFUNCTION("IMPORTRANGE(""https://docs.google.com/spreadsheets/d/1IYY_tgx_IHuhSq3AJ5eI5OnqOPBNLWSHKh2a30DoXe8/edit?usp=sharing"",""ระนอง!I442"")"),20)</f>
        <v>20</v>
      </c>
      <c r="J547" s="195">
        <f ca="1">IFERROR(__xludf.DUMMYFUNCTION("IMPORTRANGE(""https://docs.google.com/spreadsheets/d/1IYY_tgx_IHuhSq3AJ5eI5OnqOPBNLWSHKh2a30DoXe8/edit?usp=sharing"",""ระนอง!J442"")"),20)</f>
        <v>20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IFERROR(__xludf.DUMMYFUNCTION("IMPORTRANGE(""https://docs.google.com/spreadsheets/d/1IYY_tgx_IHuhSq3AJ5eI5OnqOPBNLWSHKh2a30DoXe8/edit?usp=sharing"",""ระนอง!J166"")"),0)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IFERROR(__xludf.DUMMYFUNCTION("IMPORTRANGE(""https://docs.google.com/spreadsheets/d/1IYY_tgx_IHuhSq3AJ5eI5OnqOPBNLWSHKh2a30DoXe8/edit?usp=sharing"",""ระนอง!J444"")"),0)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IFERROR(__xludf.DUMMYFUNCTION("IMPORTRANGE(""https://docs.google.com/spreadsheets/d/1IYY_tgx_IHuhSq3AJ5eI5OnqOPBNLWSHKh2a30DoXe8/edit?usp=sharing"",""ระนอง!J445"")"),0)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IFERROR(__xludf.DUMMYFUNCTION("IMPORTRANGE(""https://docs.google.com/spreadsheets/d/1IYY_tgx_IHuhSq3AJ5eI5OnqOPBNLWSHKh2a30DoXe8/edit?usp=sharing"",""ระนอง!I446"")"),0)</f>
        <v>0</v>
      </c>
      <c r="J551" s="416">
        <f ca="1">IFERROR(__xludf.DUMMYFUNCTION("IMPORTRANGE(""https://docs.google.com/spreadsheets/d/1IYY_tgx_IHuhSq3AJ5eI5OnqOPBNLWSHKh2a30DoXe8/edit?usp=sharing"",""ระนอง!J446"")"),0)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IFERROR(__xludf.DUMMYFUNCTION("IMPORTRANGE(""https://docs.google.com/spreadsheets/d/1IYY_tgx_IHuhSq3AJ5eI5OnqOPBNLWSHKh2a30DoXe8/edit?usp=sharing"",""ระนอง!L446"")"),0)</f>
        <v>0</v>
      </c>
      <c r="M551" s="418"/>
      <c r="N551" s="418">
        <f ca="1">IFERROR(__xludf.DUMMYFUNCTION("IMPORTRANGE(""https://docs.google.com/spreadsheets/d/1IYY_tgx_IHuhSq3AJ5eI5OnqOPBNLWSHKh2a30DoXe8/edit?usp=sharing"",""ระนอง!M446"")"),0)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IFERROR(__xludf.DUMMYFUNCTION("IMPORTRANGE(""https://docs.google.com/spreadsheets/d/1IYY_tgx_IHuhSq3AJ5eI5OnqOPBNLWSHKh2a30DoXe8/edit?usp=sharing"",""ระนอง!L447"")"),0)</f>
        <v>0</v>
      </c>
      <c r="M552" s="168"/>
      <c r="N552" s="175">
        <f ca="1">IFERROR(__xludf.DUMMYFUNCTION("IMPORTRANGE(""https://docs.google.com/spreadsheets/d/1IYY_tgx_IHuhSq3AJ5eI5OnqOPBNLWSHKh2a30DoXe8/edit?usp=sharing"",""ระนอง!M447"")"),0)</f>
        <v>0</v>
      </c>
      <c r="O552" s="175">
        <f t="shared" ca="1" si="120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IFERROR(__xludf.DUMMYFUNCTION("IMPORTRANGE(""https://docs.google.com/spreadsheets/d/1IYY_tgx_IHuhSq3AJ5eI5OnqOPBNLWSHKh2a30DoXe8/edit?usp=sharing"",""ระนอง!L448"")"),0)</f>
        <v>0</v>
      </c>
      <c r="M553" s="169"/>
      <c r="N553" s="175">
        <f ca="1">IFERROR(__xludf.DUMMYFUNCTION("IMPORTRANGE(""https://docs.google.com/spreadsheets/d/1IYY_tgx_IHuhSq3AJ5eI5OnqOPBNLWSHKh2a30DoXe8/edit?usp=sharing"",""ระนอง!M448"")"),0)</f>
        <v>0</v>
      </c>
      <c r="O553" s="175">
        <f t="shared" ca="1" si="120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IFERROR(__xludf.DUMMYFUNCTION("IMPORTRANGE(""https://docs.google.com/spreadsheets/d/1IYY_tgx_IHuhSq3AJ5eI5OnqOPBNLWSHKh2a30DoXe8/edit?usp=sharing"",""ระนอง!L449"")"),0)</f>
        <v>0</v>
      </c>
      <c r="M554" s="175"/>
      <c r="N554" s="175">
        <f ca="1">IFERROR(__xludf.DUMMYFUNCTION("IMPORTRANGE(""https://docs.google.com/spreadsheets/d/1IYY_tgx_IHuhSq3AJ5eI5OnqOPBNLWSHKh2a30DoXe8/edit?usp=sharing"",""ระนอง!M449"")"),0)</f>
        <v>0</v>
      </c>
      <c r="O554" s="175">
        <f t="shared" ca="1" si="120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IFERROR(__xludf.DUMMYFUNCTION("IMPORTRANGE(""https://docs.google.com/spreadsheets/d/1IYY_tgx_IHuhSq3AJ5eI5OnqOPBNLWSHKh2a30DoXe8/edit?usp=sharing"",""ระนอง!L450"")"),0)</f>
        <v>0</v>
      </c>
      <c r="M555" s="175"/>
      <c r="N555" s="175">
        <f ca="1">IFERROR(__xludf.DUMMYFUNCTION("IMPORTRANGE(""https://docs.google.com/spreadsheets/d/1IYY_tgx_IHuhSq3AJ5eI5OnqOPBNLWSHKh2a30DoXe8/edit?usp=sharing"",""ระนอง!M450"")"),0)</f>
        <v>0</v>
      </c>
      <c r="O555" s="175">
        <f t="shared" ca="1" si="120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IFERROR(__xludf.DUMMYFUNCTION("IMPORTRANGE(""https://docs.google.com/spreadsheets/d/1IYY_tgx_IHuhSq3AJ5eI5OnqOPBNLWSHKh2a30DoXe8/edit?usp=sharing"",""ระนอง!M451"")"),0)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IFERROR(__xludf.DUMMYFUNCTION("IMPORTRANGE(""https://docs.google.com/spreadsheets/d/1IYY_tgx_IHuhSq3AJ5eI5OnqOPBNLWSHKh2a30DoXe8/edit?usp=sharing"",""ระนอง!M452"")"),0)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IFERROR(__xludf.DUMMYFUNCTION("IMPORTRANGE(""https://docs.google.com/spreadsheets/d/1IYY_tgx_IHuhSq3AJ5eI5OnqOPBNLWSHKh2a30DoXe8/edit?usp=sharing"",""ระนอง!M453"")"),0)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IFERROR(__xludf.DUMMYFUNCTION("IMPORTRANGE(""https://docs.google.com/spreadsheets/d/1IYY_tgx_IHuhSq3AJ5eI5OnqOPBNLWSHKh2a30DoXe8/edit?usp=sharing"",""ระนอง!M454"")"),0)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IFERROR(__xludf.DUMMYFUNCTION("IMPORTRANGE(""https://docs.google.com/spreadsheets/d/1IYY_tgx_IHuhSq3AJ5eI5OnqOPBNLWSHKh2a30DoXe8/edit?usp=sharing"",""ระนอง!I455"")"),0)</f>
        <v>0</v>
      </c>
      <c r="J560" s="166">
        <f ca="1">IFERROR(__xludf.DUMMYFUNCTION("IMPORTRANGE(""https://docs.google.com/spreadsheets/d/1IYY_tgx_IHuhSq3AJ5eI5OnqOPBNLWSHKh2a30DoXe8/edit?usp=sharing"",""ระนอง!J455"")"),0)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IFERROR(__xludf.DUMMYFUNCTION("IMPORTRANGE(""https://docs.google.com/spreadsheets/d/1IYY_tgx_IHuhSq3AJ5eI5OnqOPBNLWSHKh2a30DoXe8/edit?usp=sharing"",""ระนอง!I456"")"),0)</f>
        <v>0</v>
      </c>
      <c r="J561" s="210">
        <f ca="1">IFERROR(__xludf.DUMMYFUNCTION("IMPORTRANGE(""https://docs.google.com/spreadsheets/d/1IYY_tgx_IHuhSq3AJ5eI5OnqOPBNLWSHKh2a30DoXe8/edit?usp=sharing"",""ระนอง!J456"")"),0)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IFERROR(__xludf.DUMMYFUNCTION("IMPORTRANGE(""https://docs.google.com/spreadsheets/d/1IYY_tgx_IHuhSq3AJ5eI5OnqOPBNLWSHKh2a30DoXe8/edit?usp=sharing"",""ระนอง!I459"")"),400)</f>
        <v>400</v>
      </c>
      <c r="J564" s="377">
        <f ca="1">IFERROR(__xludf.DUMMYFUNCTION("IMPORTRANGE(""https://docs.google.com/spreadsheets/d/1IYY_tgx_IHuhSq3AJ5eI5OnqOPBNLWSHKh2a30DoXe8/edit?usp=sharing"",""ระนอง!J459"")"),772)</f>
        <v>772</v>
      </c>
      <c r="K564" s="378">
        <f ca="1">IF(I564&gt;0,J564*100/I564,0)</f>
        <v>193</v>
      </c>
      <c r="L564" s="379">
        <f ca="1">IFERROR(__xludf.DUMMYFUNCTION("IMPORTRANGE(""https://docs.google.com/spreadsheets/d/1IYY_tgx_IHuhSq3AJ5eI5OnqOPBNLWSHKh2a30DoXe8/edit?usp=sharing"",""ระนอง!L459"")"),125680)</f>
        <v>125680</v>
      </c>
      <c r="M564" s="379"/>
      <c r="N564" s="379">
        <f ca="1">IFERROR(__xludf.DUMMYFUNCTION("IMPORTRANGE(""https://docs.google.com/spreadsheets/d/1IYY_tgx_IHuhSq3AJ5eI5OnqOPBNLWSHKh2a30DoXe8/edit?usp=sharing"",""ระนอง!M459"")"),69772)</f>
        <v>69772</v>
      </c>
      <c r="O564" s="379">
        <f t="shared" ref="O564:O568" ca="1" si="122">+IF(L564&gt;0,N564*100/L564,0)</f>
        <v>55.515595162316998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IFERROR(__xludf.DUMMYFUNCTION("IMPORTRANGE(""https://docs.google.com/spreadsheets/d/1IYY_tgx_IHuhSq3AJ5eI5OnqOPBNLWSHKh2a30DoXe8/edit?usp=sharing"",""ระนอง!L460"")"),0)</f>
        <v>0</v>
      </c>
      <c r="M565" s="168"/>
      <c r="N565" s="175">
        <f ca="1">IFERROR(__xludf.DUMMYFUNCTION("IMPORTRANGE(""https://docs.google.com/spreadsheets/d/1IYY_tgx_IHuhSq3AJ5eI5OnqOPBNLWSHKh2a30DoXe8/edit?usp=sharing"",""ระนอง!M460"")"),0)</f>
        <v>0</v>
      </c>
      <c r="O565" s="175">
        <f t="shared" ca="1" si="122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IFERROR(__xludf.DUMMYFUNCTION("IMPORTRANGE(""https://docs.google.com/spreadsheets/d/1IYY_tgx_IHuhSq3AJ5eI5OnqOPBNLWSHKh2a30DoXe8/edit?usp=sharing"",""ระนอง!L461"")"),125680)</f>
        <v>125680</v>
      </c>
      <c r="M566" s="169"/>
      <c r="N566" s="175">
        <f ca="1">IFERROR(__xludf.DUMMYFUNCTION("IMPORTRANGE(""https://docs.google.com/spreadsheets/d/1IYY_tgx_IHuhSq3AJ5eI5OnqOPBNLWSHKh2a30DoXe8/edit?usp=sharing"",""ระนอง!M461"")"),69772)</f>
        <v>69772</v>
      </c>
      <c r="O566" s="175">
        <f t="shared" ca="1" si="122"/>
        <v>55.515595162316998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IFERROR(__xludf.DUMMYFUNCTION("IMPORTRANGE(""https://docs.google.com/spreadsheets/d/1IYY_tgx_IHuhSq3AJ5eI5OnqOPBNLWSHKh2a30DoXe8/edit?usp=sharing"",""ระนอง!L462"")"),0)</f>
        <v>0</v>
      </c>
      <c r="M567" s="175"/>
      <c r="N567" s="175">
        <f ca="1">IFERROR(__xludf.DUMMYFUNCTION("IMPORTRANGE(""https://docs.google.com/spreadsheets/d/1IYY_tgx_IHuhSq3AJ5eI5OnqOPBNLWSHKh2a30DoXe8/edit?usp=sharing"",""ระนอง!M462"")"),0)</f>
        <v>0</v>
      </c>
      <c r="O567" s="175">
        <f t="shared" ca="1" si="122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IFERROR(__xludf.DUMMYFUNCTION("IMPORTRANGE(""https://docs.google.com/spreadsheets/d/1IYY_tgx_IHuhSq3AJ5eI5OnqOPBNLWSHKh2a30DoXe8/edit?usp=sharing"",""ระนอง!L463"")"),125680)</f>
        <v>125680</v>
      </c>
      <c r="M568" s="175"/>
      <c r="N568" s="175">
        <f ca="1">IFERROR(__xludf.DUMMYFUNCTION("IMPORTRANGE(""https://docs.google.com/spreadsheets/d/1IYY_tgx_IHuhSq3AJ5eI5OnqOPBNLWSHKh2a30DoXe8/edit?usp=sharing"",""ระนอง!M463"")"),69772)</f>
        <v>69772</v>
      </c>
      <c r="O568" s="175">
        <f t="shared" ca="1" si="122"/>
        <v>55.515595162316998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IFERROR(__xludf.DUMMYFUNCTION("IMPORTRANGE(""https://docs.google.com/spreadsheets/d/1IYY_tgx_IHuhSq3AJ5eI5OnqOPBNLWSHKh2a30DoXe8/edit?usp=sharing"",""ระนอง!M464"")"),0)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IFERROR(__xludf.DUMMYFUNCTION("IMPORTRANGE(""https://docs.google.com/spreadsheets/d/1IYY_tgx_IHuhSq3AJ5eI5OnqOPBNLWSHKh2a30DoXe8/edit?usp=sharing"",""ระนอง!M465"")"),0)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IFERROR(__xludf.DUMMYFUNCTION("IMPORTRANGE(""https://docs.google.com/spreadsheets/d/1IYY_tgx_IHuhSq3AJ5eI5OnqOPBNLWSHKh2a30DoXe8/edit?usp=sharing"",""ระนอง!M466"")"),53532)</f>
        <v>53532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IFERROR(__xludf.DUMMYFUNCTION("IMPORTRANGE(""https://docs.google.com/spreadsheets/d/1IYY_tgx_IHuhSq3AJ5eI5OnqOPBNLWSHKh2a30DoXe8/edit?usp=sharing"",""ระนอง!M467"")"),16240)</f>
        <v>16240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IFERROR(__xludf.DUMMYFUNCTION("IMPORTRANGE(""https://docs.google.com/spreadsheets/d/1IYY_tgx_IHuhSq3AJ5eI5OnqOPBNLWSHKh2a30DoXe8/edit?usp=sharing"",""ระนอง!I468"")"),400)</f>
        <v>400</v>
      </c>
      <c r="J573" s="426">
        <f ca="1">IFERROR(__xludf.DUMMYFUNCTION("IMPORTRANGE(""https://docs.google.com/spreadsheets/d/1IYY_tgx_IHuhSq3AJ5eI5OnqOPBNLWSHKh2a30DoXe8/edit?usp=sharing"",""ระนอง!J468"")"),772)</f>
        <v>772</v>
      </c>
      <c r="K573" s="208">
        <f ca="1">IF(I573&gt;0,J573*100/I573,0)</f>
        <v>193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IFERROR(__xludf.DUMMYFUNCTION("IMPORTRANGE(""https://docs.google.com/spreadsheets/d/1IYY_tgx_IHuhSq3AJ5eI5OnqOPBNLWSHKh2a30DoXe8/edit?usp=sharing"",""ระนอง!I470"")"),0)</f>
        <v>0</v>
      </c>
      <c r="J575" s="204">
        <f ca="1">IFERROR(__xludf.DUMMYFUNCTION("IMPORTRANGE(""https://docs.google.com/spreadsheets/d/1IYY_tgx_IHuhSq3AJ5eI5OnqOPBNLWSHKh2a30DoXe8/edit?usp=sharing"",""ระนอง!J470"")"),4)</f>
        <v>4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IFERROR(__xludf.DUMMYFUNCTION("IMPORTRANGE(""https://docs.google.com/spreadsheets/d/1IYY_tgx_IHuhSq3AJ5eI5OnqOPBNLWSHKh2a30DoXe8/edit?usp=sharing"",""ระนอง!I471"")"),0)</f>
        <v>0</v>
      </c>
      <c r="J576" s="204">
        <f ca="1">IFERROR(__xludf.DUMMYFUNCTION("IMPORTRANGE(""https://docs.google.com/spreadsheets/d/1IYY_tgx_IHuhSq3AJ5eI5OnqOPBNLWSHKh2a30DoXe8/edit?usp=sharing"",""ระนอง!J471"")"),119)</f>
        <v>119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IFERROR(__xludf.DUMMYFUNCTION("IMPORTRANGE(""https://docs.google.com/spreadsheets/d/1IYY_tgx_IHuhSq3AJ5eI5OnqOPBNLWSHKh2a30DoXe8/edit?usp=sharing"",""ระนอง!I472"")"),0)</f>
        <v>0</v>
      </c>
      <c r="J577" s="195">
        <f ca="1">IFERROR(__xludf.DUMMYFUNCTION("IMPORTRANGE(""https://docs.google.com/spreadsheets/d/1IYY_tgx_IHuhSq3AJ5eI5OnqOPBNLWSHKh2a30DoXe8/edit?usp=sharing"",""ระนอง!J472"")"),653)</f>
        <v>653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IFERROR(__xludf.DUMMYFUNCTION("IMPORTRANGE(""https://docs.google.com/spreadsheets/d/1IYY_tgx_IHuhSq3AJ5eI5OnqOPBNLWSHKh2a30DoXe8/edit?usp=sharing"",""ระนอง!I473"")"),0)</f>
        <v>0</v>
      </c>
      <c r="J578" s="204">
        <f ca="1">IFERROR(__xludf.DUMMYFUNCTION("IMPORTRANGE(""https://docs.google.com/spreadsheets/d/1IYY_tgx_IHuhSq3AJ5eI5OnqOPBNLWSHKh2a30DoXe8/edit?usp=sharing"",""ระนอง!J473"")"),0)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IFERROR(__xludf.DUMMYFUNCTION("IMPORTRANGE(""https://docs.google.com/spreadsheets/d/1IYY_tgx_IHuhSq3AJ5eI5OnqOPBNLWSHKh2a30DoXe8/edit?usp=sharing"",""ระนอง!I474"")"),0)</f>
        <v>0</v>
      </c>
      <c r="J579" s="204">
        <f ca="1">IFERROR(__xludf.DUMMYFUNCTION("IMPORTRANGE(""https://docs.google.com/spreadsheets/d/1IYY_tgx_IHuhSq3AJ5eI5OnqOPBNLWSHKh2a30DoXe8/edit?usp=sharing"",""ระนอง!J474"")"),0)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IFERROR(__xludf.DUMMYFUNCTION("IMPORTRANGE(""https://docs.google.com/spreadsheets/d/1IYY_tgx_IHuhSq3AJ5eI5OnqOPBNLWSHKh2a30DoXe8/edit?usp=sharing"",""ระนอง!I475"")"),0)</f>
        <v>0</v>
      </c>
      <c r="J580" s="377">
        <f ca="1">IFERROR(__xludf.DUMMYFUNCTION("IMPORTRANGE(""https://docs.google.com/spreadsheets/d/1IYY_tgx_IHuhSq3AJ5eI5OnqOPBNLWSHKh2a30DoXe8/edit?usp=sharing"",""ระนอง!J475"")"),0)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IFERROR(__xludf.DUMMYFUNCTION("IMPORTRANGE(""https://docs.google.com/spreadsheets/d/1IYY_tgx_IHuhSq3AJ5eI5OnqOPBNLWSHKh2a30DoXe8/edit?usp=sharing"",""ระนอง!L475"")"),0)</f>
        <v>0</v>
      </c>
      <c r="M580" s="379"/>
      <c r="N580" s="379">
        <f ca="1">IFERROR(__xludf.DUMMYFUNCTION("IMPORTRANGE(""https://docs.google.com/spreadsheets/d/1IYY_tgx_IHuhSq3AJ5eI5OnqOPBNLWSHKh2a30DoXe8/edit?usp=sharing"",""ระนอง!M475"")"),0)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IFERROR(__xludf.DUMMYFUNCTION("IMPORTRANGE(""https://docs.google.com/spreadsheets/d/1IYY_tgx_IHuhSq3AJ5eI5OnqOPBNLWSHKh2a30DoXe8/edit?usp=sharing"",""ระนอง!L476"")"),0)</f>
        <v>0</v>
      </c>
      <c r="M581" s="168"/>
      <c r="N581" s="175">
        <f ca="1">IFERROR(__xludf.DUMMYFUNCTION("IMPORTRANGE(""https://docs.google.com/spreadsheets/d/1IYY_tgx_IHuhSq3AJ5eI5OnqOPBNLWSHKh2a30DoXe8/edit?usp=sharing"",""ระนอง!M476"")"),0)</f>
        <v>0</v>
      </c>
      <c r="O581" s="175">
        <f t="shared" ca="1" si="124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IFERROR(__xludf.DUMMYFUNCTION("IMPORTRANGE(""https://docs.google.com/spreadsheets/d/1IYY_tgx_IHuhSq3AJ5eI5OnqOPBNLWSHKh2a30DoXe8/edit?usp=sharing"",""ระนอง!L477"")"),0)</f>
        <v>0</v>
      </c>
      <c r="M582" s="169"/>
      <c r="N582" s="175">
        <f ca="1">IFERROR(__xludf.DUMMYFUNCTION("IMPORTRANGE(""https://docs.google.com/spreadsheets/d/1IYY_tgx_IHuhSq3AJ5eI5OnqOPBNLWSHKh2a30DoXe8/edit?usp=sharing"",""ระนอง!M477"")"),0)</f>
        <v>0</v>
      </c>
      <c r="O582" s="175">
        <f t="shared" ca="1" si="124"/>
        <v>0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IFERROR(__xludf.DUMMYFUNCTION("IMPORTRANGE(""https://docs.google.com/spreadsheets/d/1IYY_tgx_IHuhSq3AJ5eI5OnqOPBNLWSHKh2a30DoXe8/edit?usp=sharing"",""ระนอง!L478"")"),0)</f>
        <v>0</v>
      </c>
      <c r="M583" s="175"/>
      <c r="N583" s="175">
        <f ca="1">IFERROR(__xludf.DUMMYFUNCTION("IMPORTRANGE(""https://docs.google.com/spreadsheets/d/1IYY_tgx_IHuhSq3AJ5eI5OnqOPBNLWSHKh2a30DoXe8/edit?usp=sharing"",""ระนอง!M478"")"),0)</f>
        <v>0</v>
      </c>
      <c r="O583" s="175">
        <f t="shared" ca="1" si="124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IFERROR(__xludf.DUMMYFUNCTION("IMPORTRANGE(""https://docs.google.com/spreadsheets/d/1IYY_tgx_IHuhSq3AJ5eI5OnqOPBNLWSHKh2a30DoXe8/edit?usp=sharing"",""ระนอง!L479"")"),0)</f>
        <v>0</v>
      </c>
      <c r="M584" s="175"/>
      <c r="N584" s="175">
        <f ca="1">IFERROR(__xludf.DUMMYFUNCTION("IMPORTRANGE(""https://docs.google.com/spreadsheets/d/1IYY_tgx_IHuhSq3AJ5eI5OnqOPBNLWSHKh2a30DoXe8/edit?usp=sharing"",""ระนอง!M479"")"),0)</f>
        <v>0</v>
      </c>
      <c r="O584" s="175">
        <f t="shared" ca="1" si="124"/>
        <v>0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IFERROR(__xludf.DUMMYFUNCTION("IMPORTRANGE(""https://docs.google.com/spreadsheets/d/1IYY_tgx_IHuhSq3AJ5eI5OnqOPBNLWSHKh2a30DoXe8/edit?usp=sharing"",""ระนอง!M480"")"),0)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IFERROR(__xludf.DUMMYFUNCTION("IMPORTRANGE(""https://docs.google.com/spreadsheets/d/1IYY_tgx_IHuhSq3AJ5eI5OnqOPBNLWSHKh2a30DoXe8/edit?usp=sharing"",""ระนอง!M481"")"),0)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IFERROR(__xludf.DUMMYFUNCTION("IMPORTRANGE(""https://docs.google.com/spreadsheets/d/1IYY_tgx_IHuhSq3AJ5eI5OnqOPBNLWSHKh2a30DoXe8/edit?usp=sharing"",""ระนอง!M482"")"),0)</f>
        <v>0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IFERROR(__xludf.DUMMYFUNCTION("IMPORTRANGE(""https://docs.google.com/spreadsheets/d/1IYY_tgx_IHuhSq3AJ5eI5OnqOPBNLWSHKh2a30DoXe8/edit?usp=sharing"",""ระนอง!M483"")"),0)</f>
        <v>0</v>
      </c>
      <c r="O588" s="175"/>
      <c r="P588" s="175"/>
    </row>
    <row r="589" spans="1:16" ht="21.75" customHeight="1" x14ac:dyDescent="0.2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IFERROR(__xludf.DUMMYFUNCTION("IMPORTRANGE(""https://docs.google.com/spreadsheets/d/1IYY_tgx_IHuhSq3AJ5eI5OnqOPBNLWSHKh2a30DoXe8/edit?usp=sharing"",""ระนอง!I484"")"),0)</f>
        <v>0</v>
      </c>
      <c r="J589" s="194">
        <f ca="1">IFERROR(__xludf.DUMMYFUNCTION("IMPORTRANGE(""https://docs.google.com/spreadsheets/d/1IYY_tgx_IHuhSq3AJ5eI5OnqOPBNLWSHKh2a30DoXe8/edit?usp=sharing"",""ระนอง!J484"")"),0)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2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IFERROR(__xludf.DUMMYFUNCTION("IMPORTRANGE(""https://docs.google.com/spreadsheets/d/1IYY_tgx_IHuhSq3AJ5eI5OnqOPBNLWSHKh2a30DoXe8/edit?usp=sharing"",""ระนอง!I485"")"),0)</f>
        <v>0</v>
      </c>
      <c r="J590" s="194">
        <f ca="1">IFERROR(__xludf.DUMMYFUNCTION("IMPORTRANGE(""https://docs.google.com/spreadsheets/d/1IYY_tgx_IHuhSq3AJ5eI5OnqOPBNLWSHKh2a30DoXe8/edit?usp=sharing"",""ระนอง!J485"")"),0)</f>
        <v>0</v>
      </c>
      <c r="K590" s="486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IFERROR(__xludf.DUMMYFUNCTION("IMPORTRANGE(""https://docs.google.com/spreadsheets/d/1IYY_tgx_IHuhSq3AJ5eI5OnqOPBNLWSHKh2a30DoXe8/edit?usp=sharing"",""ระนอง!I486"")"),0)</f>
        <v>0</v>
      </c>
      <c r="J591" s="194">
        <f ca="1">IFERROR(__xludf.DUMMYFUNCTION("IMPORTRANGE(""https://docs.google.com/spreadsheets/d/1IYY_tgx_IHuhSq3AJ5eI5OnqOPBNLWSHKh2a30DoXe8/edit?usp=sharing"",""ระนอง!J486"")"),0)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2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IFERROR(__xludf.DUMMYFUNCTION("IMPORTRANGE(""https://docs.google.com/spreadsheets/d/1IYY_tgx_IHuhSq3AJ5eI5OnqOPBNLWSHKh2a30DoXe8/edit?usp=sharing"",""ระนอง!I487"")"),0)</f>
        <v>0</v>
      </c>
      <c r="J592" s="194">
        <f ca="1">IFERROR(__xludf.DUMMYFUNCTION("IMPORTRANGE(""https://docs.google.com/spreadsheets/d/1IYY_tgx_IHuhSq3AJ5eI5OnqOPBNLWSHKh2a30DoXe8/edit?usp=sharing"",""ระนอง!J487"")"),0)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IFERROR(__xludf.DUMMYFUNCTION("IMPORTRANGE(""https://docs.google.com/spreadsheets/d/1IYY_tgx_IHuhSq3AJ5eI5OnqOPBNLWSHKh2a30DoXe8/edit?usp=sharing"",""ระนอง!I488"")"),0)</f>
        <v>0</v>
      </c>
      <c r="J593" s="194">
        <f ca="1">IFERROR(__xludf.DUMMYFUNCTION("IMPORTRANGE(""https://docs.google.com/spreadsheets/d/1IYY_tgx_IHuhSq3AJ5eI5OnqOPBNLWSHKh2a30DoXe8/edit?usp=sharing"",""ระนอง!J488"")"),0)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2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IFERROR(__xludf.DUMMYFUNCTION("IMPORTRANGE(""https://docs.google.com/spreadsheets/d/1IYY_tgx_IHuhSq3AJ5eI5OnqOPBNLWSHKh2a30DoXe8/edit?usp=sharing"",""ระนอง!I489"")"),0)</f>
        <v>0</v>
      </c>
      <c r="J594" s="194">
        <f ca="1">IFERROR(__xludf.DUMMYFUNCTION("IMPORTRANGE(""https://docs.google.com/spreadsheets/d/1IYY_tgx_IHuhSq3AJ5eI5OnqOPBNLWSHKh2a30DoXe8/edit?usp=sharing"",""ระนอง!J489"")"),0)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IFERROR(__xludf.DUMMYFUNCTION("IMPORTRANGE(""https://docs.google.com/spreadsheets/d/1IYY_tgx_IHuhSq3AJ5eI5OnqOPBNLWSHKh2a30DoXe8/edit?usp=sharing"",""ระนอง!I490"")"),0)</f>
        <v>0</v>
      </c>
      <c r="J595" s="194">
        <f ca="1">IFERROR(__xludf.DUMMYFUNCTION("IMPORTRANGE(""https://docs.google.com/spreadsheets/d/1IYY_tgx_IHuhSq3AJ5eI5OnqOPBNLWSHKh2a30DoXe8/edit?usp=sharing"",""ระนอง!J490"")"),0)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2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IFERROR(__xludf.DUMMYFUNCTION("IMPORTRANGE(""https://docs.google.com/spreadsheets/d/1IYY_tgx_IHuhSq3AJ5eI5OnqOPBNLWSHKh2a30DoXe8/edit?usp=sharing"",""ระนอง!I491"")"),0)</f>
        <v>0</v>
      </c>
      <c r="J596" s="247">
        <f ca="1">IFERROR(__xludf.DUMMYFUNCTION("IMPORTRANGE(""https://docs.google.com/spreadsheets/d/1IYY_tgx_IHuhSq3AJ5eI5OnqOPBNLWSHKh2a30DoXe8/edit?usp=sharing"",""ระนอง!J491"")"),0)</f>
        <v>0</v>
      </c>
      <c r="K596" s="493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IFERROR(__xludf.DUMMYFUNCTION("IMPORTRANGE(""https://docs.google.com/spreadsheets/d/1IYY_tgx_IHuhSq3AJ5eI5OnqOPBNLWSHKh2a30DoXe8/edit?usp=sharing"",""ระนอง!I492"")"),50)</f>
        <v>50</v>
      </c>
      <c r="J597" s="494">
        <f ca="1">IFERROR(__xludf.DUMMYFUNCTION("IMPORTRANGE(""https://docs.google.com/spreadsheets/d/1IYY_tgx_IHuhSq3AJ5eI5OnqOPBNLWSHKh2a30DoXe8/edit?usp=sharing"",""ระนอง!J492"")"),0)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IFERROR(__xludf.DUMMYFUNCTION("IMPORTRANGE(""https://docs.google.com/spreadsheets/d/1IYY_tgx_IHuhSq3AJ5eI5OnqOPBNLWSHKh2a30DoXe8/edit?usp=sharing"",""ระนอง!L492"")"),5000)</f>
        <v>5000</v>
      </c>
      <c r="M597" s="418"/>
      <c r="N597" s="418">
        <f ca="1">IFERROR(__xludf.DUMMYFUNCTION("IMPORTRANGE(""https://docs.google.com/spreadsheets/d/1IYY_tgx_IHuhSq3AJ5eI5OnqOPBNLWSHKh2a30DoXe8/edit?usp=sharing"",""ระนอง!M492"")"),5000)</f>
        <v>5000</v>
      </c>
      <c r="O597" s="418">
        <f t="shared" ref="O597:O601" ca="1" si="126">+IF(L597&gt;0,N597*100/L597,0)</f>
        <v>100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IFERROR(__xludf.DUMMYFUNCTION("IMPORTRANGE(""https://docs.google.com/spreadsheets/d/1IYY_tgx_IHuhSq3AJ5eI5OnqOPBNLWSHKh2a30DoXe8/edit?usp=sharing"",""ระนอง!L493"")"),0)</f>
        <v>0</v>
      </c>
      <c r="M598" s="168"/>
      <c r="N598" s="175">
        <f ca="1">IFERROR(__xludf.DUMMYFUNCTION("IMPORTRANGE(""https://docs.google.com/spreadsheets/d/1IYY_tgx_IHuhSq3AJ5eI5OnqOPBNLWSHKh2a30DoXe8/edit?usp=sharing"",""ระนอง!M493"")"),0)</f>
        <v>0</v>
      </c>
      <c r="O598" s="175">
        <f t="shared" ca="1" si="126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IFERROR(__xludf.DUMMYFUNCTION("IMPORTRANGE(""https://docs.google.com/spreadsheets/d/1IYY_tgx_IHuhSq3AJ5eI5OnqOPBNLWSHKh2a30DoXe8/edit?usp=sharing"",""ระนอง!L494"")"),5000)</f>
        <v>5000</v>
      </c>
      <c r="M599" s="169"/>
      <c r="N599" s="175">
        <f ca="1">IFERROR(__xludf.DUMMYFUNCTION("IMPORTRANGE(""https://docs.google.com/spreadsheets/d/1IYY_tgx_IHuhSq3AJ5eI5OnqOPBNLWSHKh2a30DoXe8/edit?usp=sharing"",""ระนอง!M494"")"),5000)</f>
        <v>5000</v>
      </c>
      <c r="O599" s="175">
        <f t="shared" ca="1" si="126"/>
        <v>100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IFERROR(__xludf.DUMMYFUNCTION("IMPORTRANGE(""https://docs.google.com/spreadsheets/d/1IYY_tgx_IHuhSq3AJ5eI5OnqOPBNLWSHKh2a30DoXe8/edit?usp=sharing"",""ระนอง!L495"")"),0)</f>
        <v>0</v>
      </c>
      <c r="M600" s="175"/>
      <c r="N600" s="175">
        <f ca="1">IFERROR(__xludf.DUMMYFUNCTION("IMPORTRANGE(""https://docs.google.com/spreadsheets/d/1IYY_tgx_IHuhSq3AJ5eI5OnqOPBNLWSHKh2a30DoXe8/edit?usp=sharing"",""ระนอง!M495"")"),0)</f>
        <v>0</v>
      </c>
      <c r="O600" s="175">
        <f t="shared" ca="1" si="126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IFERROR(__xludf.DUMMYFUNCTION("IMPORTRANGE(""https://docs.google.com/spreadsheets/d/1IYY_tgx_IHuhSq3AJ5eI5OnqOPBNLWSHKh2a30DoXe8/edit?usp=sharing"",""ระนอง!L496"")"),5000)</f>
        <v>5000</v>
      </c>
      <c r="M601" s="175"/>
      <c r="N601" s="175">
        <f ca="1">IFERROR(__xludf.DUMMYFUNCTION("IMPORTRANGE(""https://docs.google.com/spreadsheets/d/1IYY_tgx_IHuhSq3AJ5eI5OnqOPBNLWSHKh2a30DoXe8/edit?usp=sharing"",""ระนอง!M496"")"),5000)</f>
        <v>5000</v>
      </c>
      <c r="O601" s="175">
        <f t="shared" ca="1" si="126"/>
        <v>100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IFERROR(__xludf.DUMMYFUNCTION("IMPORTRANGE(""https://docs.google.com/spreadsheets/d/1IYY_tgx_IHuhSq3AJ5eI5OnqOPBNLWSHKh2a30DoXe8/edit?usp=sharing"",""ระนอง!M497"")"),0)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IFERROR(__xludf.DUMMYFUNCTION("IMPORTRANGE(""https://docs.google.com/spreadsheets/d/1IYY_tgx_IHuhSq3AJ5eI5OnqOPBNLWSHKh2a30DoXe8/edit?usp=sharing"",""ระนอง!M498"")"),0)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IFERROR(__xludf.DUMMYFUNCTION("IMPORTRANGE(""https://docs.google.com/spreadsheets/d/1IYY_tgx_IHuhSq3AJ5eI5OnqOPBNLWSHKh2a30DoXe8/edit?usp=sharing"",""ระนอง!M499"")"),0)</f>
        <v>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IFERROR(__xludf.DUMMYFUNCTION("IMPORTRANGE(""https://docs.google.com/spreadsheets/d/1IYY_tgx_IHuhSq3AJ5eI5OnqOPBNLWSHKh2a30DoXe8/edit?usp=sharing"",""ระนอง!M500"")"),5000)</f>
        <v>5000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IFERROR(__xludf.DUMMYFUNCTION("IMPORTRANGE(""https://docs.google.com/spreadsheets/d/1IYY_tgx_IHuhSq3AJ5eI5OnqOPBNLWSHKh2a30DoXe8/edit?usp=sharing"",""ระนอง!J502"")"),0)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IFERROR(__xludf.DUMMYFUNCTION("IMPORTRANGE(""https://docs.google.com/spreadsheets/d/1IYY_tgx_IHuhSq3AJ5eI5OnqOPBNLWSHKh2a30DoXe8/edit?usp=sharing"",""ระนอง!J503"")"),0)</f>
        <v>0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IFERROR(__xludf.DUMMYFUNCTION("IMPORTRANGE(""https://docs.google.com/spreadsheets/d/1IYY_tgx_IHuhSq3AJ5eI5OnqOPBNLWSHKh2a30DoXe8/edit?usp=sharing"",""ระนอง!J166"")"),0)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2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IFERROR(__xludf.DUMMYFUNCTION("IMPORTRANGE(""https://docs.google.com/spreadsheets/d/1IYY_tgx_IHuhSq3AJ5eI5OnqOPBNLWSHKh2a30DoXe8/edit?usp=sharing"",""ระนอง!J166"")"),0)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IFERROR(__xludf.DUMMYFUNCTION("IMPORTRANGE(""https://docs.google.com/spreadsheets/d/1IYY_tgx_IHuhSq3AJ5eI5OnqOPBNLWSHKh2a30DoXe8/edit?usp=sharing"",""ระนอง!I506"")"),50)</f>
        <v>50</v>
      </c>
      <c r="J611" s="166">
        <f ca="1">IFERROR(__xludf.DUMMYFUNCTION("IMPORTRANGE(""https://docs.google.com/spreadsheets/d/1IYY_tgx_IHuhSq3AJ5eI5OnqOPBNLWSHKh2a30DoXe8/edit?usp=sharing"",""ระนอง!J506"")"),0)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IFERROR(__xludf.DUMMYFUNCTION("IMPORTRANGE(""https://docs.google.com/spreadsheets/d/1IYY_tgx_IHuhSq3AJ5eI5OnqOPBNLWSHKh2a30DoXe8/edit?usp=sharing"",""ระนอง!I507"")"),0)</f>
        <v>0</v>
      </c>
      <c r="J612" s="204">
        <f ca="1">IFERROR(__xludf.DUMMYFUNCTION("IMPORTRANGE(""https://docs.google.com/spreadsheets/d/1IYY_tgx_IHuhSq3AJ5eI5OnqOPBNLWSHKh2a30DoXe8/edit?usp=sharing"",""ระนอง!J507"")"),0)</f>
        <v>0</v>
      </c>
      <c r="K612" s="167">
        <f t="shared" ca="1" si="127"/>
        <v>0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IFERROR(__xludf.DUMMYFUNCTION("IMPORTRANGE(""https://docs.google.com/spreadsheets/d/1IYY_tgx_IHuhSq3AJ5eI5OnqOPBNLWSHKh2a30DoXe8/edit?usp=sharing"",""ระนอง!I508"")"),0)</f>
        <v>0</v>
      </c>
      <c r="J613" s="204">
        <f ca="1">IFERROR(__xludf.DUMMYFUNCTION("IMPORTRANGE(""https://docs.google.com/spreadsheets/d/1IYY_tgx_IHuhSq3AJ5eI5OnqOPBNLWSHKh2a30DoXe8/edit?usp=sharing"",""ระนอง!J508"")"),0)</f>
        <v>0</v>
      </c>
      <c r="K613" s="167">
        <f t="shared" ca="1" si="127"/>
        <v>0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IFERROR(__xludf.DUMMYFUNCTION("IMPORTRANGE(""https://docs.google.com/spreadsheets/d/1IYY_tgx_IHuhSq3AJ5eI5OnqOPBNLWSHKh2a30DoXe8/edit?usp=sharing"",""ระนอง!I509"")"),0)</f>
        <v>0</v>
      </c>
      <c r="J614" s="204">
        <f ca="1">IFERROR(__xludf.DUMMYFUNCTION("IMPORTRANGE(""https://docs.google.com/spreadsheets/d/1IYY_tgx_IHuhSq3AJ5eI5OnqOPBNLWSHKh2a30DoXe8/edit?usp=sharing"",""ระนอง!J509"")"),0)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IFERROR(__xludf.DUMMYFUNCTION("IMPORTRANGE(""https://docs.google.com/spreadsheets/d/1IYY_tgx_IHuhSq3AJ5eI5OnqOPBNLWSHKh2a30DoXe8/edit?usp=sharing"",""ระนอง!I510"")"),0)</f>
        <v>0</v>
      </c>
      <c r="J615" s="204">
        <f ca="1">IFERROR(__xludf.DUMMYFUNCTION("IMPORTRANGE(""https://docs.google.com/spreadsheets/d/1IYY_tgx_IHuhSq3AJ5eI5OnqOPBNLWSHKh2a30DoXe8/edit?usp=sharing"",""ระนอง!J510"")"),0)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IFERROR(__xludf.DUMMYFUNCTION("IMPORTRANGE(""https://docs.google.com/spreadsheets/d/1IYY_tgx_IHuhSq3AJ5eI5OnqOPBNLWSHKh2a30DoXe8/edit?usp=sharing"",""ระนอง!I511"")"),0)</f>
        <v>0</v>
      </c>
      <c r="J616" s="204">
        <f ca="1">IFERROR(__xludf.DUMMYFUNCTION("IMPORTRANGE(""https://docs.google.com/spreadsheets/d/1IYY_tgx_IHuhSq3AJ5eI5OnqOPBNLWSHKh2a30DoXe8/edit?usp=sharing"",""ระนอง!J511"")"),0)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IFERROR(__xludf.DUMMYFUNCTION("IMPORTRANGE(""https://docs.google.com/spreadsheets/d/1IYY_tgx_IHuhSq3AJ5eI5OnqOPBNLWSHKh2a30DoXe8/edit?usp=sharing"",""ระนอง!I512"")"),0)</f>
        <v>0</v>
      </c>
      <c r="J617" s="194">
        <f ca="1">IFERROR(__xludf.DUMMYFUNCTION("IMPORTRANGE(""https://docs.google.com/spreadsheets/d/1IYY_tgx_IHuhSq3AJ5eI5OnqOPBNLWSHKh2a30DoXe8/edit?usp=sharing"",""ระนอง!J512"")"),0)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IFERROR(__xludf.DUMMYFUNCTION("IMPORTRANGE(""https://docs.google.com/spreadsheets/d/1IYY_tgx_IHuhSq3AJ5eI5OnqOPBNLWSHKh2a30DoXe8/edit?usp=sharing"",""ระนอง!I513"")"),0)</f>
        <v>0</v>
      </c>
      <c r="J618" s="195">
        <f ca="1">IFERROR(__xludf.DUMMYFUNCTION("IMPORTRANGE(""https://docs.google.com/spreadsheets/d/1IYY_tgx_IHuhSq3AJ5eI5OnqOPBNLWSHKh2a30DoXe8/edit?usp=sharing"",""ระนอง!J513"")"),0)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IFERROR(__xludf.DUMMYFUNCTION("IMPORTRANGE(""https://docs.google.com/spreadsheets/d/1IYY_tgx_IHuhSq3AJ5eI5OnqOPBNLWSHKh2a30DoXe8/edit?usp=sharing"",""ระนอง!I514"")"),0)</f>
        <v>0</v>
      </c>
      <c r="J619" s="195">
        <f ca="1">IFERROR(__xludf.DUMMYFUNCTION("IMPORTRANGE(""https://docs.google.com/spreadsheets/d/1IYY_tgx_IHuhSq3AJ5eI5OnqOPBNLWSHKh2a30DoXe8/edit?usp=sharing"",""ระนอง!J514"")"),0)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IFERROR(__xludf.DUMMYFUNCTION("IMPORTRANGE(""https://docs.google.com/spreadsheets/d/1IYY_tgx_IHuhSq3AJ5eI5OnqOPBNLWSHKh2a30DoXe8/edit?usp=sharing"",""ระนอง!I515"")"),0)</f>
        <v>0</v>
      </c>
      <c r="J620" s="209">
        <f ca="1">IFERROR(__xludf.DUMMYFUNCTION("IMPORTRANGE(""https://docs.google.com/spreadsheets/d/1IYY_tgx_IHuhSq3AJ5eI5OnqOPBNLWSHKh2a30DoXe8/edit?usp=sharing"",""ระนอง!J515"")"),0)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IFERROR(__xludf.DUMMYFUNCTION("IMPORTRANGE(""https://docs.google.com/spreadsheets/d/1IYY_tgx_IHuhSq3AJ5eI5OnqOPBNLWSHKh2a30DoXe8/edit?usp=sharing"",""ระนอง!I516"")"),0)</f>
        <v>0</v>
      </c>
      <c r="J621" s="209">
        <f ca="1">IFERROR(__xludf.DUMMYFUNCTION("IMPORTRANGE(""https://docs.google.com/spreadsheets/d/1IYY_tgx_IHuhSq3AJ5eI5OnqOPBNLWSHKh2a30DoXe8/edit?usp=sharing"",""ระนอง!J516"")"),0)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IFERROR(__xludf.DUMMYFUNCTION("IMPORTRANGE(""https://docs.google.com/spreadsheets/d/1IYY_tgx_IHuhSq3AJ5eI5OnqOPBNLWSHKh2a30DoXe8/edit?usp=sharing"",""ระนอง!I517"")"),0)</f>
        <v>0</v>
      </c>
      <c r="J622" s="195">
        <f ca="1">IFERROR(__xludf.DUMMYFUNCTION("IMPORTRANGE(""https://docs.google.com/spreadsheets/d/1IYY_tgx_IHuhSq3AJ5eI5OnqOPBNLWSHKh2a30DoXe8/edit?usp=sharing"",""ระนอง!J517"")"),0)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IFERROR(__xludf.DUMMYFUNCTION("IMPORTRANGE(""https://docs.google.com/spreadsheets/d/1IYY_tgx_IHuhSq3AJ5eI5OnqOPBNLWSHKh2a30DoXe8/edit?usp=sharing"",""ระนอง!I518"")"),0)</f>
        <v>0</v>
      </c>
      <c r="J623" s="195">
        <f ca="1">IFERROR(__xludf.DUMMYFUNCTION("IMPORTRANGE(""https://docs.google.com/spreadsheets/d/1IYY_tgx_IHuhSq3AJ5eI5OnqOPBNLWSHKh2a30DoXe8/edit?usp=sharing"",""ระนอง!J518"")"),0)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IFERROR(__xludf.DUMMYFUNCTION("IMPORTRANGE(""https://docs.google.com/spreadsheets/d/1IYY_tgx_IHuhSq3AJ5eI5OnqOPBNLWSHKh2a30DoXe8/edit?usp=sharing"",""ระนอง!I519"")"),0)</f>
        <v>0</v>
      </c>
      <c r="J624" s="194">
        <f ca="1">IFERROR(__xludf.DUMMYFUNCTION("IMPORTRANGE(""https://docs.google.com/spreadsheets/d/1IYY_tgx_IHuhSq3AJ5eI5OnqOPBNLWSHKh2a30DoXe8/edit?usp=sharing"",""ระนอง!J519"")"),0)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IFERROR(__xludf.DUMMYFUNCTION("IMPORTRANGE(""https://docs.google.com/spreadsheets/d/1IYY_tgx_IHuhSq3AJ5eI5OnqOPBNLWSHKh2a30DoXe8/edit?usp=sharing"",""ระนอง!I520"")"),0)</f>
        <v>0</v>
      </c>
      <c r="J625" s="195">
        <f ca="1">IFERROR(__xludf.DUMMYFUNCTION("IMPORTRANGE(""https://docs.google.com/spreadsheets/d/1IYY_tgx_IHuhSq3AJ5eI5OnqOPBNLWSHKh2a30DoXe8/edit?usp=sharing"",""ระนอง!J520"")"),0)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IFERROR(__xludf.DUMMYFUNCTION("IMPORTRANGE(""https://docs.google.com/spreadsheets/d/1IYY_tgx_IHuhSq3AJ5eI5OnqOPBNLWSHKh2a30DoXe8/edit?usp=sharing"",""ระนอง!I521"")"),0)</f>
        <v>0</v>
      </c>
      <c r="J626" s="195">
        <f ca="1">IFERROR(__xludf.DUMMYFUNCTION("IMPORTRANGE(""https://docs.google.com/spreadsheets/d/1IYY_tgx_IHuhSq3AJ5eI5OnqOPBNLWSHKh2a30DoXe8/edit?usp=sharing"",""ระนอง!J521"")"),0)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2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2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IFERROR(__xludf.DUMMYFUNCTION("IMPORTRANGE(""https://docs.google.com/spreadsheets/d/1IYY_tgx_IHuhSq3AJ5eI5OnqOPBNLWSHKh2a30DoXe8/edit?usp=sharing"",""ระนอง!I523"")"),1209766.67)</f>
        <v>1209766.67</v>
      </c>
      <c r="J628" s="347">
        <f ca="1">IFERROR(__xludf.DUMMYFUNCTION("IMPORTRANGE(""https://docs.google.com/spreadsheets/d/1IYY_tgx_IHuhSq3AJ5eI5OnqOPBNLWSHKh2a30DoXe8/edit?usp=sharing"",""ระนอง!J523"")"),1085233.9)</f>
        <v>1085233.8999999999</v>
      </c>
      <c r="K628" s="348">
        <f t="shared" ref="K628:K635" ca="1" si="129">IF(I628&gt;0,J628*100/I628,0)</f>
        <v>89.706050506417071</v>
      </c>
      <c r="L628" s="348"/>
      <c r="M628" s="348"/>
      <c r="N628" s="348"/>
      <c r="O628" s="175"/>
      <c r="P628" s="175"/>
    </row>
    <row r="629" spans="1:16" ht="21.75" customHeight="1" x14ac:dyDescent="0.2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IFERROR(__xludf.DUMMYFUNCTION("IMPORTRANGE(""https://docs.google.com/spreadsheets/d/1IYY_tgx_IHuhSq3AJ5eI5OnqOPBNLWSHKh2a30DoXe8/edit?usp=sharing"",""ระนอง!I524"")"),121)</f>
        <v>121</v>
      </c>
      <c r="J629" s="347">
        <f ca="1">IFERROR(__xludf.DUMMYFUNCTION("IMPORTRANGE(""https://docs.google.com/spreadsheets/d/1IYY_tgx_IHuhSq3AJ5eI5OnqOPBNLWSHKh2a30DoXe8/edit?usp=sharing"",""ระนอง!J524"")"),109)</f>
        <v>109</v>
      </c>
      <c r="K629" s="348">
        <f t="shared" ca="1" si="129"/>
        <v>90.082644628099175</v>
      </c>
      <c r="L629" s="348"/>
      <c r="M629" s="348"/>
      <c r="N629" s="348"/>
      <c r="O629" s="175"/>
      <c r="P629" s="175"/>
    </row>
    <row r="630" spans="1:16" ht="21.75" customHeight="1" x14ac:dyDescent="0.2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IFERROR(__xludf.DUMMYFUNCTION("IMPORTRANGE(""https://docs.google.com/spreadsheets/d/1IYY_tgx_IHuhSq3AJ5eI5OnqOPBNLWSHKh2a30DoXe8/edit?usp=sharing"",""ระนอง!I525"")"),2205098.43)</f>
        <v>2205098.4300000002</v>
      </c>
      <c r="J630" s="347">
        <f ca="1">IFERROR(__xludf.DUMMYFUNCTION("IMPORTRANGE(""https://docs.google.com/spreadsheets/d/1IYY_tgx_IHuhSq3AJ5eI5OnqOPBNLWSHKh2a30DoXe8/edit?usp=sharing"",""ระนอง!J525"")"),448708.44)</f>
        <v>448708.44</v>
      </c>
      <c r="K630" s="348">
        <f t="shared" ca="1" si="129"/>
        <v>20.34868076161117</v>
      </c>
      <c r="L630" s="348"/>
      <c r="M630" s="348"/>
      <c r="N630" s="348"/>
      <c r="O630" s="175"/>
      <c r="P630" s="175"/>
    </row>
    <row r="631" spans="1:16" ht="21.75" customHeight="1" x14ac:dyDescent="0.2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IFERROR(__xludf.DUMMYFUNCTION("IMPORTRANGE(""https://docs.google.com/spreadsheets/d/1IYY_tgx_IHuhSq3AJ5eI5OnqOPBNLWSHKh2a30DoXe8/edit?usp=sharing"",""ระนอง!I526"")"),134)</f>
        <v>134</v>
      </c>
      <c r="J631" s="347">
        <f ca="1">IFERROR(__xludf.DUMMYFUNCTION("IMPORTRANGE(""https://docs.google.com/spreadsheets/d/1IYY_tgx_IHuhSq3AJ5eI5OnqOPBNLWSHKh2a30DoXe8/edit?usp=sharing"",""ระนอง!J526"")"),67)</f>
        <v>67</v>
      </c>
      <c r="K631" s="348">
        <f t="shared" ca="1" si="129"/>
        <v>50</v>
      </c>
      <c r="L631" s="348"/>
      <c r="M631" s="348"/>
      <c r="N631" s="348"/>
      <c r="O631" s="175"/>
      <c r="P631" s="175"/>
    </row>
    <row r="632" spans="1:16" ht="21.75" customHeight="1" x14ac:dyDescent="0.2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IFERROR(__xludf.DUMMYFUNCTION("IMPORTRANGE(""https://docs.google.com/spreadsheets/d/1IYY_tgx_IHuhSq3AJ5eI5OnqOPBNLWSHKh2a30DoXe8/edit?usp=sharing"",""ระนอง!I527"")"),0)</f>
        <v>0</v>
      </c>
      <c r="J632" s="347">
        <f ca="1">IFERROR(__xludf.DUMMYFUNCTION("IMPORTRANGE(""https://docs.google.com/spreadsheets/d/1IYY_tgx_IHuhSq3AJ5eI5OnqOPBNLWSHKh2a30DoXe8/edit?usp=sharing"",""ระนอง!J527"")"),0)</f>
        <v>0</v>
      </c>
      <c r="K632" s="348">
        <f t="shared" ca="1" si="129"/>
        <v>0</v>
      </c>
      <c r="L632" s="348"/>
      <c r="M632" s="348"/>
      <c r="N632" s="348"/>
      <c r="O632" s="175"/>
      <c r="P632" s="175"/>
    </row>
    <row r="633" spans="1:16" ht="21.75" customHeight="1" x14ac:dyDescent="0.2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IFERROR(__xludf.DUMMYFUNCTION("IMPORTRANGE(""https://docs.google.com/spreadsheets/d/1IYY_tgx_IHuhSq3AJ5eI5OnqOPBNLWSHKh2a30DoXe8/edit?usp=sharing"",""ระนอง!I528"")"),0)</f>
        <v>0</v>
      </c>
      <c r="J633" s="347">
        <f ca="1">IFERROR(__xludf.DUMMYFUNCTION("IMPORTRANGE(""https://docs.google.com/spreadsheets/d/1IYY_tgx_IHuhSq3AJ5eI5OnqOPBNLWSHKh2a30DoXe8/edit?usp=sharing"",""ระนอง!J528"")"),0)</f>
        <v>0</v>
      </c>
      <c r="K633" s="348">
        <f t="shared" ca="1" si="129"/>
        <v>0</v>
      </c>
      <c r="L633" s="348"/>
      <c r="M633" s="348"/>
      <c r="N633" s="348"/>
      <c r="O633" s="175"/>
      <c r="P633" s="175"/>
    </row>
    <row r="634" spans="1:16" ht="21.75" customHeight="1" x14ac:dyDescent="0.2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IFERROR(__xludf.DUMMYFUNCTION("IMPORTRANGE(""https://docs.google.com/spreadsheets/d/1IYY_tgx_IHuhSq3AJ5eI5OnqOPBNLWSHKh2a30DoXe8/edit?usp=sharing"",""ระนอง!I529"")"),900000)</f>
        <v>900000</v>
      </c>
      <c r="J634" s="347">
        <f ca="1">IFERROR(__xludf.DUMMYFUNCTION("IMPORTRANGE(""https://docs.google.com/spreadsheets/d/1IYY_tgx_IHuhSq3AJ5eI5OnqOPBNLWSHKh2a30DoXe8/edit?usp=sharing"",""ระนอง!J529"")"),900000)</f>
        <v>900000</v>
      </c>
      <c r="K634" s="348">
        <f t="shared" ca="1" si="129"/>
        <v>100</v>
      </c>
      <c r="L634" s="348"/>
      <c r="M634" s="348"/>
      <c r="N634" s="348"/>
      <c r="O634" s="175"/>
      <c r="P634" s="175"/>
    </row>
    <row r="635" spans="1:16" ht="21.75" customHeight="1" x14ac:dyDescent="0.25">
      <c r="A635" s="487"/>
      <c r="B635" s="489"/>
      <c r="C635" s="489"/>
      <c r="D635" s="488"/>
      <c r="E635" s="515"/>
      <c r="F635" s="515"/>
      <c r="G635" s="516"/>
      <c r="H635" s="517" t="s">
        <v>37</v>
      </c>
      <c r="I635" s="518">
        <f ca="1">IFERROR(__xludf.DUMMYFUNCTION("IMPORTRANGE(""https://docs.google.com/spreadsheets/d/1IYY_tgx_IHuhSq3AJ5eI5OnqOPBNLWSHKh2a30DoXe8/edit?usp=sharing"",""ระนอง!I530"")"),30)</f>
        <v>30</v>
      </c>
      <c r="J635" s="518">
        <f ca="1">IFERROR(__xludf.DUMMYFUNCTION("IMPORTRANGE(""https://docs.google.com/spreadsheets/d/1IYY_tgx_IHuhSq3AJ5eI5OnqOPBNLWSHKh2a30DoXe8/edit?usp=sharing"",""ระนอง!J530"")"),30)</f>
        <v>30</v>
      </c>
      <c r="K635" s="493">
        <f t="shared" ca="1" si="129"/>
        <v>100</v>
      </c>
      <c r="L635" s="493"/>
      <c r="M635" s="493"/>
      <c r="N635" s="493"/>
      <c r="O635" s="519"/>
      <c r="P635" s="519"/>
    </row>
    <row r="636" spans="1:16" ht="21.75" customHeight="1" x14ac:dyDescent="0.3">
      <c r="A636" s="520"/>
      <c r="B636" s="599" t="s">
        <v>237</v>
      </c>
      <c r="C636" s="600"/>
      <c r="D636" s="600"/>
      <c r="E636" s="600"/>
      <c r="F636" s="600"/>
      <c r="G636" s="600"/>
      <c r="H636" s="521"/>
      <c r="I636" s="521"/>
      <c r="J636" s="521"/>
      <c r="K636" s="522"/>
      <c r="L636" s="523">
        <f ca="1">SUM(L637,L638)</f>
        <v>0</v>
      </c>
      <c r="M636" s="524"/>
      <c r="N636" s="523">
        <f ca="1">SUM(N637:N638)</f>
        <v>0</v>
      </c>
      <c r="O636" s="523">
        <f t="shared" ref="O636:O640" ca="1" si="130">+IF(L636&gt;0,N636*100/L636,0)</f>
        <v>0</v>
      </c>
      <c r="P636" s="523"/>
    </row>
    <row r="637" spans="1:16" ht="21.75" customHeight="1" x14ac:dyDescent="0.3">
      <c r="A637" s="525"/>
      <c r="B637" s="526"/>
      <c r="C637" s="527" t="s">
        <v>16</v>
      </c>
      <c r="D637" s="601" t="s">
        <v>77</v>
      </c>
      <c r="E637" s="575"/>
      <c r="F637" s="575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130"/>
        <v>0</v>
      </c>
      <c r="P637" s="535"/>
    </row>
    <row r="638" spans="1:16" ht="21.75" customHeight="1" x14ac:dyDescent="0.3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0</v>
      </c>
      <c r="M638" s="534"/>
      <c r="N638" s="535">
        <f ca="1">SUM(N639:N640)</f>
        <v>0</v>
      </c>
      <c r="O638" s="535">
        <f t="shared" ca="1" si="130"/>
        <v>0</v>
      </c>
      <c r="P638" s="535"/>
    </row>
    <row r="639" spans="1:16" ht="21.75" customHeight="1" x14ac:dyDescent="0.3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130"/>
        <v>0</v>
      </c>
      <c r="P639" s="535"/>
    </row>
    <row r="640" spans="1:16" ht="21.75" customHeight="1" x14ac:dyDescent="0.3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0</v>
      </c>
      <c r="M640" s="534"/>
      <c r="N640" s="535">
        <f ca="1">SUM(N641:N644)</f>
        <v>0</v>
      </c>
      <c r="O640" s="535">
        <f t="shared" ca="1" si="130"/>
        <v>0</v>
      </c>
      <c r="P640" s="535"/>
    </row>
    <row r="641" spans="1:16" ht="21.75" customHeight="1" x14ac:dyDescent="0.3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3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3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3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0</v>
      </c>
      <c r="O644" s="537"/>
      <c r="P644" s="537"/>
    </row>
    <row r="645" spans="1:16" ht="21.75" customHeight="1" x14ac:dyDescent="0.3">
      <c r="A645" s="539"/>
      <c r="B645" s="540"/>
      <c r="C645" s="527" t="s">
        <v>16</v>
      </c>
      <c r="D645" s="602" t="s">
        <v>242</v>
      </c>
      <c r="E645" s="575"/>
      <c r="F645" s="575"/>
      <c r="G645" s="575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3">
      <c r="A646" s="539"/>
      <c r="B646" s="540"/>
      <c r="C646" s="540"/>
      <c r="D646" s="541">
        <v>1</v>
      </c>
      <c r="E646" s="603" t="s">
        <v>44</v>
      </c>
      <c r="F646" s="575"/>
      <c r="G646" s="575"/>
      <c r="H646" s="536"/>
      <c r="I646" s="542"/>
      <c r="J646" s="543">
        <f ca="1">IFERROR(__xludf.DUMMYFUNCTION("IMPORTRANGE(""https://docs.google.com/spreadsheets/d/1IYY_tgx_IHuhSq3AJ5eI5OnqOPBNLWSHKh2a30DoXe8/edit?usp=sharing"",""ระนอง!J541"")"),0)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3">
      <c r="A647" s="539"/>
      <c r="B647" s="540"/>
      <c r="C647" s="540"/>
      <c r="D647" s="545">
        <v>2</v>
      </c>
      <c r="E647" s="604" t="s">
        <v>243</v>
      </c>
      <c r="F647" s="575"/>
      <c r="G647" s="575"/>
      <c r="H647" s="536"/>
      <c r="I647" s="542"/>
      <c r="J647" s="543">
        <f ca="1">IFERROR(__xludf.DUMMYFUNCTION("IMPORTRANGE(""https://docs.google.com/spreadsheets/d/1IYY_tgx_IHuhSq3AJ5eI5OnqOPBNLWSHKh2a30DoXe8/edit?usp=sharing"",""ระนอง!J542"")"),0)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3">
      <c r="A648" s="525"/>
      <c r="B648" s="526"/>
      <c r="C648" s="526"/>
      <c r="D648" s="526"/>
      <c r="E648" s="526"/>
      <c r="F648" s="598" t="s">
        <v>244</v>
      </c>
      <c r="G648" s="575"/>
      <c r="H648" s="529" t="s">
        <v>122</v>
      </c>
      <c r="I648" s="546">
        <f ca="1">IFERROR(__xludf.DUMMYFUNCTION("IMPORTRANGE(""https://docs.google.com/spreadsheets/d/1IYY_tgx_IHuhSq3AJ5eI5OnqOPBNLWSHKh2a30DoXe8/edit?usp=sharing"",""ระนอง!I543"")"),0)</f>
        <v>0</v>
      </c>
      <c r="J648" s="547">
        <f ca="1">IFERROR(__xludf.DUMMYFUNCTION("IMPORTRANGE(""https://docs.google.com/spreadsheets/d/1IYY_tgx_IHuhSq3AJ5eI5OnqOPBNLWSHKh2a30DoXe8/edit?usp=sharing"",""ระนอง!J543"")"),0)</f>
        <v>0</v>
      </c>
      <c r="K648" s="548">
        <f t="shared" ref="K648:K651" ca="1" si="131">IF(I648&gt;0,J648*100/I648,0)</f>
        <v>0</v>
      </c>
      <c r="L648" s="535">
        <f ca="1">IFERROR(__xludf.DUMMYFUNCTION("IMPORTRANGE(""https://docs.google.com/spreadsheets/d/1IYY_tgx_IHuhSq3AJ5eI5OnqOPBNLWSHKh2a30DoXe8/edit?usp=sharing"",""ระนอง!L543"")"),0)</f>
        <v>0</v>
      </c>
      <c r="M648" s="534"/>
      <c r="N648" s="549">
        <f ca="1">IFERROR(__xludf.DUMMYFUNCTION("IMPORTRANGE(""https://docs.google.com/spreadsheets/d/1IYY_tgx_IHuhSq3AJ5eI5OnqOPBNLWSHKh2a30DoXe8/edit?usp=sharing"",""ระนอง!M543"")"),0)</f>
        <v>0</v>
      </c>
      <c r="O648" s="548">
        <f t="shared" ref="O648:O651" ca="1" si="132">IF(L648&gt;0,N648*100/L648,0)</f>
        <v>0</v>
      </c>
      <c r="P648" s="548"/>
    </row>
    <row r="649" spans="1:16" ht="21.75" customHeight="1" x14ac:dyDescent="0.3">
      <c r="A649" s="525"/>
      <c r="B649" s="526"/>
      <c r="C649" s="526"/>
      <c r="D649" s="526"/>
      <c r="E649" s="526"/>
      <c r="F649" s="598" t="s">
        <v>245</v>
      </c>
      <c r="G649" s="575"/>
      <c r="H649" s="529" t="s">
        <v>37</v>
      </c>
      <c r="I649" s="546">
        <f ca="1">IFERROR(__xludf.DUMMYFUNCTION("IMPORTRANGE(""https://docs.google.com/spreadsheets/d/1IYY_tgx_IHuhSq3AJ5eI5OnqOPBNLWSHKh2a30DoXe8/edit?usp=sharing"",""ระนอง!I544"")"),0)</f>
        <v>0</v>
      </c>
      <c r="J649" s="547">
        <f ca="1">IFERROR(__xludf.DUMMYFUNCTION("IMPORTRANGE(""https://docs.google.com/spreadsheets/d/1IYY_tgx_IHuhSq3AJ5eI5OnqOPBNLWSHKh2a30DoXe8/edit?usp=sharing"",""ระนอง!J544"")"),0)</f>
        <v>0</v>
      </c>
      <c r="K649" s="548">
        <f t="shared" ca="1" si="131"/>
        <v>0</v>
      </c>
      <c r="L649" s="535">
        <f ca="1">IFERROR(__xludf.DUMMYFUNCTION("IMPORTRANGE(""https://docs.google.com/spreadsheets/d/1IYY_tgx_IHuhSq3AJ5eI5OnqOPBNLWSHKh2a30DoXe8/edit?usp=sharing"",""ระนอง!L544"")"),0)</f>
        <v>0</v>
      </c>
      <c r="M649" s="534"/>
      <c r="N649" s="549">
        <f ca="1">IFERROR(__xludf.DUMMYFUNCTION("IMPORTRANGE(""https://docs.google.com/spreadsheets/d/1IYY_tgx_IHuhSq3AJ5eI5OnqOPBNLWSHKh2a30DoXe8/edit?usp=sharing"",""ระนอง!M544"")"),0)</f>
        <v>0</v>
      </c>
      <c r="O649" s="548">
        <f t="shared" ca="1" si="132"/>
        <v>0</v>
      </c>
      <c r="P649" s="548"/>
    </row>
    <row r="650" spans="1:16" ht="21.75" customHeight="1" x14ac:dyDescent="0.3">
      <c r="A650" s="525"/>
      <c r="B650" s="526"/>
      <c r="C650" s="526"/>
      <c r="D650" s="526"/>
      <c r="E650" s="526"/>
      <c r="F650" s="598" t="s">
        <v>246</v>
      </c>
      <c r="G650" s="575"/>
      <c r="H650" s="529" t="s">
        <v>122</v>
      </c>
      <c r="I650" s="546">
        <f ca="1">IFERROR(__xludf.DUMMYFUNCTION("IMPORTRANGE(""https://docs.google.com/spreadsheets/d/1IYY_tgx_IHuhSq3AJ5eI5OnqOPBNLWSHKh2a30DoXe8/edit?usp=sharing"",""ระนอง!I545"")"),0)</f>
        <v>0</v>
      </c>
      <c r="J650" s="547">
        <f ca="1">IFERROR(__xludf.DUMMYFUNCTION("IMPORTRANGE(""https://docs.google.com/spreadsheets/d/1IYY_tgx_IHuhSq3AJ5eI5OnqOPBNLWSHKh2a30DoXe8/edit?usp=sharing"",""ระนอง!J545"")"),0)</f>
        <v>0</v>
      </c>
      <c r="K650" s="548">
        <f t="shared" ca="1" si="131"/>
        <v>0</v>
      </c>
      <c r="L650" s="535">
        <f ca="1">IFERROR(__xludf.DUMMYFUNCTION("IMPORTRANGE(""https://docs.google.com/spreadsheets/d/1IYY_tgx_IHuhSq3AJ5eI5OnqOPBNLWSHKh2a30DoXe8/edit?usp=sharing"",""ระนอง!L545"")"),0)</f>
        <v>0</v>
      </c>
      <c r="M650" s="534"/>
      <c r="N650" s="549">
        <f ca="1">IFERROR(__xludf.DUMMYFUNCTION("IMPORTRANGE(""https://docs.google.com/spreadsheets/d/1IYY_tgx_IHuhSq3AJ5eI5OnqOPBNLWSHKh2a30DoXe8/edit?usp=sharing"",""ระนอง!M545"")"),0)</f>
        <v>0</v>
      </c>
      <c r="O650" s="548">
        <f t="shared" ca="1" si="132"/>
        <v>0</v>
      </c>
      <c r="P650" s="548"/>
    </row>
    <row r="651" spans="1:16" ht="21.75" customHeight="1" x14ac:dyDescent="0.3">
      <c r="A651" s="525"/>
      <c r="B651" s="526"/>
      <c r="C651" s="526"/>
      <c r="D651" s="526"/>
      <c r="E651" s="526"/>
      <c r="F651" s="598" t="s">
        <v>247</v>
      </c>
      <c r="G651" s="575"/>
      <c r="H651" s="529" t="s">
        <v>122</v>
      </c>
      <c r="I651" s="546">
        <f ca="1">IFERROR(__xludf.DUMMYFUNCTION("IMPORTRANGE(""https://docs.google.com/spreadsheets/d/1IYY_tgx_IHuhSq3AJ5eI5OnqOPBNLWSHKh2a30DoXe8/edit?usp=sharing"",""ระนอง!I546"")"),0)</f>
        <v>0</v>
      </c>
      <c r="J651" s="547">
        <f ca="1">J657+J660</f>
        <v>0</v>
      </c>
      <c r="K651" s="548">
        <f t="shared" ca="1" si="131"/>
        <v>0</v>
      </c>
      <c r="L651" s="535">
        <f ca="1">IFERROR(__xludf.DUMMYFUNCTION("IMPORTRANGE(""https://docs.google.com/spreadsheets/d/1IYY_tgx_IHuhSq3AJ5eI5OnqOPBNLWSHKh2a30DoXe8/edit?usp=sharing"",""ระนอง!L546"")"),0)</f>
        <v>0</v>
      </c>
      <c r="M651" s="534"/>
      <c r="N651" s="549">
        <f ca="1">IFERROR(__xludf.DUMMYFUNCTION("IMPORTRANGE(""https://docs.google.com/spreadsheets/d/1IYY_tgx_IHuhSq3AJ5eI5OnqOPBNLWSHKh2a30DoXe8/edit?usp=sharing"",""ระนอง!M546"")"),0)</f>
        <v>0</v>
      </c>
      <c r="O651" s="548">
        <f t="shared" ca="1" si="132"/>
        <v>0</v>
      </c>
      <c r="P651" s="548"/>
    </row>
    <row r="652" spans="1:16" ht="21.75" customHeight="1" x14ac:dyDescent="0.3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IFERROR(__xludf.DUMMYFUNCTION("IMPORTRANGE(""https://docs.google.com/spreadsheets/d/1IYY_tgx_IHuhSq3AJ5eI5OnqOPBNLWSHKh2a30DoXe8/edit?usp=sharing"",""ระนอง!J547"")"),0)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3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IFERROR(__xludf.DUMMYFUNCTION("IMPORTRANGE(""https://docs.google.com/spreadsheets/d/1IYY_tgx_IHuhSq3AJ5eI5OnqOPBNLWSHKh2a30DoXe8/edit?usp=sharing"",""ระนอง!J548"")"),0)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3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3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IFERROR(__xludf.DUMMYFUNCTION("IMPORTRANGE(""https://docs.google.com/spreadsheets/d/1IYY_tgx_IHuhSq3AJ5eI5OnqOPBNLWSHKh2a30DoXe8/edit?usp=sharing"",""ระนอง!J550"")"),0)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3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IFERROR(__xludf.DUMMYFUNCTION("IMPORTRANGE(""https://docs.google.com/spreadsheets/d/1IYY_tgx_IHuhSq3AJ5eI5OnqOPBNLWSHKh2a30DoXe8/edit?usp=sharing"",""ระนอง!J551"")"),0)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3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IFERROR(__xludf.DUMMYFUNCTION("IMPORTRANGE(""https://docs.google.com/spreadsheets/d/1IYY_tgx_IHuhSq3AJ5eI5OnqOPBNLWSHKh2a30DoXe8/edit?usp=sharing"",""ระนอง!J552"")"),0)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3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IFERROR(__xludf.DUMMYFUNCTION("IMPORTRANGE(""https://docs.google.com/spreadsheets/d/1IYY_tgx_IHuhSq3AJ5eI5OnqOPBNLWSHKh2a30DoXe8/edit?usp=sharing"",""ระนอง!J553"")"),0)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3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IFERROR(__xludf.DUMMYFUNCTION("IMPORTRANGE(""https://docs.google.com/spreadsheets/d/1IYY_tgx_IHuhSq3AJ5eI5OnqOPBNLWSHKh2a30DoXe8/edit?usp=sharing"",""ระนอง!J554"")"),0)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3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IFERROR(__xludf.DUMMYFUNCTION("IMPORTRANGE(""https://docs.google.com/spreadsheets/d/1IYY_tgx_IHuhSq3AJ5eI5OnqOPBNLWSHKh2a30DoXe8/edit?usp=sharing"",""ระนอง!J555"")"),0)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3">
      <c r="A661" s="525"/>
      <c r="B661" s="526"/>
      <c r="C661" s="526"/>
      <c r="D661" s="526"/>
      <c r="E661" s="526"/>
      <c r="F661" s="598" t="s">
        <v>252</v>
      </c>
      <c r="G661" s="575"/>
      <c r="H661" s="529" t="s">
        <v>37</v>
      </c>
      <c r="I661" s="550"/>
      <c r="J661" s="547">
        <f ca="1">IFERROR(__xludf.DUMMYFUNCTION("IMPORTRANGE(""https://docs.google.com/spreadsheets/d/1IYY_tgx_IHuhSq3AJ5eI5OnqOPBNLWSHKh2a30DoXe8/edit?usp=sharing"",""ระนอง!J556"")"),0)</f>
        <v>0</v>
      </c>
      <c r="K661" s="548"/>
      <c r="L661" s="535">
        <f ca="1">IFERROR(__xludf.DUMMYFUNCTION("IMPORTRANGE(""https://docs.google.com/spreadsheets/d/1IYY_tgx_IHuhSq3AJ5eI5OnqOPBNLWSHKh2a30DoXe8/edit?usp=sharing"",""ระนอง!L556"")"),0)</f>
        <v>0</v>
      </c>
      <c r="M661" s="534"/>
      <c r="N661" s="549">
        <f ca="1">IFERROR(__xludf.DUMMYFUNCTION("IMPORTRANGE(""https://docs.google.com/spreadsheets/d/1IYY_tgx_IHuhSq3AJ5eI5OnqOPBNLWSHKh2a30DoXe8/edit?usp=sharing"",""ระนอง!M556"")"),0)</f>
        <v>0</v>
      </c>
      <c r="O661" s="548">
        <f ca="1">IF(L661&gt;0,N661*100/L661,0)</f>
        <v>0</v>
      </c>
      <c r="P661" s="548"/>
    </row>
    <row r="662" spans="1:16" ht="21.75" customHeight="1" x14ac:dyDescent="0.3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IFERROR(__xludf.DUMMYFUNCTION("IMPORTRANGE(""https://docs.google.com/spreadsheets/d/1IYY_tgx_IHuhSq3AJ5eI5OnqOPBNLWSHKh2a30DoXe8/edit?usp=sharing"",""ระนอง!J557"")"),0)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3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IFERROR(__xludf.DUMMYFUNCTION("IMPORTRANGE(""https://docs.google.com/spreadsheets/d/1IYY_tgx_IHuhSq3AJ5eI5OnqOPBNLWSHKh2a30DoXe8/edit?usp=sharing"",""ระนอง!I558"")"),0)</f>
        <v>0</v>
      </c>
      <c r="J663" s="547">
        <f ca="1">IFERROR(__xludf.DUMMYFUNCTION("IMPORTRANGE(""https://docs.google.com/spreadsheets/d/1IYY_tgx_IHuhSq3AJ5eI5OnqOPBNLWSHKh2a30DoXe8/edit?usp=sharing"",""ระนอง!J558"")"),0)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3">
      <c r="A664" s="525"/>
      <c r="B664" s="526"/>
      <c r="C664" s="526"/>
      <c r="D664" s="526"/>
      <c r="E664" s="526"/>
      <c r="F664" s="598" t="s">
        <v>253</v>
      </c>
      <c r="G664" s="575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3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IFERROR(__xludf.DUMMYFUNCTION("IMPORTRANGE(""https://docs.google.com/spreadsheets/d/1IYY_tgx_IHuhSq3AJ5eI5OnqOPBNLWSHKh2a30DoXe8/edit?usp=sharing"",""ระนอง!I560"")"),0)</f>
        <v>0</v>
      </c>
      <c r="J665" s="547">
        <f ca="1">IFERROR(__xludf.DUMMYFUNCTION("IMPORTRANGE(""https://docs.google.com/spreadsheets/d/1IYY_tgx_IHuhSq3AJ5eI5OnqOPBNLWSHKh2a30DoXe8/edit?usp=sharing"",""ระนอง!J560"")"),0)</f>
        <v>0</v>
      </c>
      <c r="K665" s="548">
        <f ca="1">IF(I665&gt;0,J665*100/I665,0)</f>
        <v>0</v>
      </c>
      <c r="L665" s="535">
        <f ca="1">IFERROR(__xludf.DUMMYFUNCTION("IMPORTRANGE(""https://docs.google.com/spreadsheets/d/1IYY_tgx_IHuhSq3AJ5eI5OnqOPBNLWSHKh2a30DoXe8/edit?usp=sharing"",""ระนอง!L560"")"),0)</f>
        <v>0</v>
      </c>
      <c r="M665" s="534"/>
      <c r="N665" s="549">
        <f ca="1">IFERROR(__xludf.DUMMYFUNCTION("IMPORTRANGE(""https://docs.google.com/spreadsheets/d/1IYY_tgx_IHuhSq3AJ5eI5OnqOPBNLWSHKh2a30DoXe8/edit?usp=sharing"",""ระนอง!M560"")"),0)</f>
        <v>0</v>
      </c>
      <c r="O665" s="548">
        <f ca="1">IF(L665&gt;0,N665*100/L665,0)</f>
        <v>0</v>
      </c>
      <c r="P665" s="548"/>
    </row>
    <row r="666" spans="1:16" ht="21.75" customHeight="1" x14ac:dyDescent="0.3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IFERROR(__xludf.DUMMYFUNCTION("IMPORTRANGE(""https://docs.google.com/spreadsheets/d/1IYY_tgx_IHuhSq3AJ5eI5OnqOPBNLWSHKh2a30DoXe8/edit?usp=sharing"",""ระนอง!J561"")"),0)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3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IFERROR(__xludf.DUMMYFUNCTION("IMPORTRANGE(""https://docs.google.com/spreadsheets/d/1IYY_tgx_IHuhSq3AJ5eI5OnqOPBNLWSHKh2a30DoXe8/edit?usp=sharing"",""ระนอง!J562"")"),0)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3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IFERROR(__xludf.DUMMYFUNCTION("IMPORTRANGE(""https://docs.google.com/spreadsheets/d/1IYY_tgx_IHuhSq3AJ5eI5OnqOPBNLWSHKh2a30DoXe8/edit?usp=sharing"",""ระนอง!I563"")"),0)</f>
        <v>0</v>
      </c>
      <c r="J668" s="547">
        <f ca="1">IFERROR(__xludf.DUMMYFUNCTION("IMPORTRANGE(""https://docs.google.com/spreadsheets/d/1IYY_tgx_IHuhSq3AJ5eI5OnqOPBNLWSHKh2a30DoXe8/edit?usp=sharing"",""ระนอง!J563"")"),0)</f>
        <v>0</v>
      </c>
      <c r="K668" s="548">
        <f ca="1">IF(I668&gt;0,J668*100/I668,0)</f>
        <v>0</v>
      </c>
      <c r="L668" s="535">
        <f ca="1">IFERROR(__xludf.DUMMYFUNCTION("IMPORTRANGE(""https://docs.google.com/spreadsheets/d/1IYY_tgx_IHuhSq3AJ5eI5OnqOPBNLWSHKh2a30DoXe8/edit?usp=sharing"",""ระนอง!L563"")"),0)</f>
        <v>0</v>
      </c>
      <c r="M668" s="534"/>
      <c r="N668" s="549">
        <f ca="1">IFERROR(__xludf.DUMMYFUNCTION("IMPORTRANGE(""https://docs.google.com/spreadsheets/d/1IYY_tgx_IHuhSq3AJ5eI5OnqOPBNLWSHKh2a30DoXe8/edit?usp=sharing"",""ระนอง!M563"")"),0)</f>
        <v>0</v>
      </c>
      <c r="O668" s="548">
        <f ca="1">IF(L668&gt;0,N668*100/L668,0)</f>
        <v>0</v>
      </c>
      <c r="P668" s="548"/>
    </row>
    <row r="669" spans="1:16" ht="21.75" customHeight="1" x14ac:dyDescent="0.3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IFERROR(__xludf.DUMMYFUNCTION("IMPORTRANGE(""https://docs.google.com/spreadsheets/d/1IYY_tgx_IHuhSq3AJ5eI5OnqOPBNLWSHKh2a30DoXe8/edit?usp=sharing"",""ระนอง!J564"")"),0)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3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IFERROR(__xludf.DUMMYFUNCTION("IMPORTRANGE(""https://docs.google.com/spreadsheets/d/1IYY_tgx_IHuhSq3AJ5eI5OnqOPBNLWSHKh2a30DoXe8/edit?usp=sharing"",""ระนอง!J565"")"),0)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3">
      <c r="A671" s="525"/>
      <c r="B671" s="526"/>
      <c r="C671" s="526"/>
      <c r="D671" s="526"/>
      <c r="E671" s="526"/>
      <c r="F671" s="598" t="s">
        <v>256</v>
      </c>
      <c r="G671" s="575"/>
      <c r="H671" s="529" t="s">
        <v>122</v>
      </c>
      <c r="I671" s="546">
        <f ca="1">IFERROR(__xludf.DUMMYFUNCTION("IMPORTRANGE(""https://docs.google.com/spreadsheets/d/1IYY_tgx_IHuhSq3AJ5eI5OnqOPBNLWSHKh2a30DoXe8/edit?usp=sharing"",""ระนอง!I566"")"),0)</f>
        <v>0</v>
      </c>
      <c r="J671" s="547">
        <f ca="1">J674+J677</f>
        <v>0</v>
      </c>
      <c r="K671" s="548">
        <f ca="1">IF(I671&gt;0,J671*100/I671,0)</f>
        <v>0</v>
      </c>
      <c r="L671" s="535">
        <f ca="1">IFERROR(__xludf.DUMMYFUNCTION("IMPORTRANGE(""https://docs.google.com/spreadsheets/d/1IYY_tgx_IHuhSq3AJ5eI5OnqOPBNLWSHKh2a30DoXe8/edit?usp=sharing"",""ระนอง!L566"")"),0)</f>
        <v>0</v>
      </c>
      <c r="M671" s="534"/>
      <c r="N671" s="549">
        <f ca="1">IFERROR(__xludf.DUMMYFUNCTION("IMPORTRANGE(""https://docs.google.com/spreadsheets/d/1IYY_tgx_IHuhSq3AJ5eI5OnqOPBNLWSHKh2a30DoXe8/edit?usp=sharing"",""ระนอง!M566"")"),0)</f>
        <v>0</v>
      </c>
      <c r="O671" s="548">
        <f ca="1">IF(L671&gt;0,N671*100/L671,0)</f>
        <v>0</v>
      </c>
      <c r="P671" s="548"/>
    </row>
    <row r="672" spans="1:16" ht="21.75" customHeight="1" x14ac:dyDescent="0.3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IFERROR(__xludf.DUMMYFUNCTION("IMPORTRANGE(""https://docs.google.com/spreadsheets/d/1IYY_tgx_IHuhSq3AJ5eI5OnqOPBNLWSHKh2a30DoXe8/edit?usp=sharing"",""ระนอง!J567"")"),0)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3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IFERROR(__xludf.DUMMYFUNCTION("IMPORTRANGE(""https://docs.google.com/spreadsheets/d/1IYY_tgx_IHuhSq3AJ5eI5OnqOPBNLWSHKh2a30DoXe8/edit?usp=sharing"",""ระนอง!J568"")"),0)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3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IFERROR(__xludf.DUMMYFUNCTION("IMPORTRANGE(""https://docs.google.com/spreadsheets/d/1IYY_tgx_IHuhSq3AJ5eI5OnqOPBNLWSHKh2a30DoXe8/edit?usp=sharing"",""ระนอง!J569"")"),0)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3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IFERROR(__xludf.DUMMYFUNCTION("IMPORTRANGE(""https://docs.google.com/spreadsheets/d/1IYY_tgx_IHuhSq3AJ5eI5OnqOPBNLWSHKh2a30DoXe8/edit?usp=sharing"",""ระนอง!J570"")"),0)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3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IFERROR(__xludf.DUMMYFUNCTION("IMPORTRANGE(""https://docs.google.com/spreadsheets/d/1IYY_tgx_IHuhSq3AJ5eI5OnqOPBNLWSHKh2a30DoXe8/edit?usp=sharing"",""ระนอง!J571"")"),0)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3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IFERROR(__xludf.DUMMYFUNCTION("IMPORTRANGE(""https://docs.google.com/spreadsheets/d/1IYY_tgx_IHuhSq3AJ5eI5OnqOPBNLWSHKh2a30DoXe8/edit?usp=sharing"",""ระนอง!J572"")"),0)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2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2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2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2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2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2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2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2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2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2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2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2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2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2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2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2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2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2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2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2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2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2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2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2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2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2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2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2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2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2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2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2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2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2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2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2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2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2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2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2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2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2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2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2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2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2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2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2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2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2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2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2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2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2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2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2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2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2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2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2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2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2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2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2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2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2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2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2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2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2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2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2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2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2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2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2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2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2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2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2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2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2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2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2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2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2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2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2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2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2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2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2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2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2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2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2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2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2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2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2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2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2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2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2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2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2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2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2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2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2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2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2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2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2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2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2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2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2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2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2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2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2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2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2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2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2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2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2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2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2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2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2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2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2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2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2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2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2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2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2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2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2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2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2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2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2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2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2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2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2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2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2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2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2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2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2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2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2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2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2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2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2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2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2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2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2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2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2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2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2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2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2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2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2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2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2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2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2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2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2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2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2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2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2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2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2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2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2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2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2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2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2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2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2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2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2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2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2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2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2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2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2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2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2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2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2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2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2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2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2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2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2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2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2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2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2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2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2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2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2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2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2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2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2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2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2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2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2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2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2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2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2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2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2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2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2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2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2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2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2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2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2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2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2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2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2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2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2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2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2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2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2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2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2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2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2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2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2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2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2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2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2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2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2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2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2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2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2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2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2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2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2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2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2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2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2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2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2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2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2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2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2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2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2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2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2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2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2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2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2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2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2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2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2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2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2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2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2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2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2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2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2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2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2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2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2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2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2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2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2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2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2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2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2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2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2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2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2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2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2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2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2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2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2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2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2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2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2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2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2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2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2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2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2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2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2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2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2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2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2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2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2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2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2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2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2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2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2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2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2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2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2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2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2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2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2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2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2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2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2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2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2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2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2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2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2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2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2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2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2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2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2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2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2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2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2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2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2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2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2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2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2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2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2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2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2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2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2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2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2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2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2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2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2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2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2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2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2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2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2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2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2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2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2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2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2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2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2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2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2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2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2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2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2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2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2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2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2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2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2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2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2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2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2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2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2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2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2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2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2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2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2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2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2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2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2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2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2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2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2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2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2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2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2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2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2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2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2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2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2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2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2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2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2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2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2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2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2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2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2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2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2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2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2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2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2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19685039370078741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32" max="16383" man="1"/>
    <brk id="626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86" t="s">
        <v>0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  <c r="N1" s="586"/>
      <c r="O1" s="586"/>
      <c r="P1" s="586"/>
    </row>
    <row r="2" spans="1:16" ht="18" customHeight="1" x14ac:dyDescent="0.25">
      <c r="A2" s="586" t="s">
        <v>284</v>
      </c>
      <c r="B2" s="586"/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86"/>
      <c r="P2" s="586"/>
    </row>
    <row r="3" spans="1:16" ht="18" customHeight="1" x14ac:dyDescent="0.25">
      <c r="A3" s="586" t="s">
        <v>290</v>
      </c>
      <c r="B3" s="586"/>
      <c r="C3" s="586"/>
      <c r="D3" s="586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  <c r="P3" s="586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2" t="s">
        <v>2</v>
      </c>
      <c r="B5" s="593"/>
      <c r="C5" s="593"/>
      <c r="D5" s="593"/>
      <c r="E5" s="593"/>
      <c r="F5" s="593"/>
      <c r="G5" s="594"/>
      <c r="H5" s="587" t="s">
        <v>3</v>
      </c>
      <c r="I5" s="589" t="s">
        <v>4</v>
      </c>
      <c r="J5" s="580"/>
      <c r="K5" s="581"/>
      <c r="L5" s="590" t="s">
        <v>5</v>
      </c>
      <c r="M5" s="581"/>
      <c r="N5" s="591" t="s">
        <v>6</v>
      </c>
      <c r="O5" s="580"/>
      <c r="P5" s="581"/>
    </row>
    <row r="6" spans="1:16" ht="21.75" customHeight="1" x14ac:dyDescent="0.25">
      <c r="A6" s="595"/>
      <c r="B6" s="596"/>
      <c r="C6" s="596"/>
      <c r="D6" s="596"/>
      <c r="E6" s="596"/>
      <c r="F6" s="596"/>
      <c r="G6" s="597"/>
      <c r="H6" s="58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5" t="s">
        <v>15</v>
      </c>
      <c r="B7" s="580"/>
      <c r="C7" s="580"/>
      <c r="D7" s="580"/>
      <c r="E7" s="580"/>
      <c r="F7" s="580"/>
      <c r="G7" s="58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4" t="s">
        <v>17</v>
      </c>
      <c r="E8" s="573"/>
      <c r="F8" s="573"/>
      <c r="G8" s="573"/>
      <c r="H8" s="20" t="s">
        <v>12</v>
      </c>
      <c r="I8" s="21"/>
      <c r="J8" s="21"/>
      <c r="K8" s="22"/>
      <c r="L8" s="23">
        <f t="shared" ref="L8:N8" ca="1" si="0">L9+L10</f>
        <v>6027830</v>
      </c>
      <c r="M8" s="23">
        <f t="shared" ca="1" si="0"/>
        <v>4457196</v>
      </c>
      <c r="N8" s="23">
        <f t="shared" ca="1" si="0"/>
        <v>5632148.9100000001</v>
      </c>
      <c r="O8" s="22">
        <f t="shared" ref="O8:O16" ca="1" si="1">IF(L8&gt;0,N8*100/L8,0)</f>
        <v>93.435762289248373</v>
      </c>
      <c r="P8" s="22">
        <f t="shared" ref="P8:P16" ca="1" si="2">IF(M8&gt;0,N8*100/M8,0)</f>
        <v>126.36080867881959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6027830</v>
      </c>
      <c r="M10" s="30">
        <f t="shared" ca="1" si="4"/>
        <v>4457196</v>
      </c>
      <c r="N10" s="30">
        <f t="shared" ca="1" si="4"/>
        <v>5632148.9100000001</v>
      </c>
      <c r="O10" s="29">
        <f t="shared" ca="1" si="1"/>
        <v>93.435762289248373</v>
      </c>
      <c r="P10" s="29">
        <f t="shared" ca="1" si="2"/>
        <v>126.36080867881959</v>
      </c>
    </row>
    <row r="11" spans="1:16" ht="21.75" customHeight="1" x14ac:dyDescent="0.3">
      <c r="A11" s="31"/>
      <c r="B11" s="32"/>
      <c r="C11" s="33" t="s">
        <v>16</v>
      </c>
      <c r="D11" s="574" t="s">
        <v>20</v>
      </c>
      <c r="E11" s="575"/>
      <c r="F11" s="57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4966830</v>
      </c>
      <c r="M12" s="38">
        <f t="shared" ca="1" si="6"/>
        <v>3396196</v>
      </c>
      <c r="N12" s="38">
        <f t="shared" ca="1" si="6"/>
        <v>4571148.91</v>
      </c>
      <c r="O12" s="38">
        <f t="shared" ca="1" si="1"/>
        <v>92.033528628924287</v>
      </c>
      <c r="P12" s="38">
        <f t="shared" ca="1" si="2"/>
        <v>134.59614551103647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2289329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2677501</v>
      </c>
      <c r="M14" s="38">
        <f t="shared" si="8"/>
        <v>0</v>
      </c>
      <c r="N14" s="38">
        <f t="shared" ca="1" si="8"/>
        <v>1485131.2</v>
      </c>
      <c r="O14" s="41">
        <f t="shared" ca="1" si="1"/>
        <v>55.46706425132988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4" t="s">
        <v>23</v>
      </c>
      <c r="E15" s="57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1061000</v>
      </c>
      <c r="M16" s="38">
        <f t="shared" ca="1" si="10"/>
        <v>1061000</v>
      </c>
      <c r="N16" s="38">
        <f t="shared" ca="1" si="10"/>
        <v>1061000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85" t="s">
        <v>24</v>
      </c>
      <c r="B17" s="580"/>
      <c r="C17" s="580"/>
      <c r="D17" s="580"/>
      <c r="E17" s="580"/>
      <c r="F17" s="580"/>
      <c r="G17" s="58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4" t="s">
        <v>17</v>
      </c>
      <c r="E18" s="573"/>
      <c r="F18" s="573"/>
      <c r="G18" s="573"/>
      <c r="H18" s="20" t="s">
        <v>12</v>
      </c>
      <c r="I18" s="21"/>
      <c r="J18" s="21"/>
      <c r="K18" s="22"/>
      <c r="L18" s="23">
        <f t="shared" ref="L18:N18" ca="1" si="11">L19+L20</f>
        <v>4375396</v>
      </c>
      <c r="M18" s="23">
        <f t="shared" ca="1" si="11"/>
        <v>4457196</v>
      </c>
      <c r="N18" s="23">
        <f t="shared" ca="1" si="11"/>
        <v>4147017.71</v>
      </c>
      <c r="O18" s="22">
        <f t="shared" ref="O18:O20" ca="1" si="12">IF(L18&gt;0,N18*100/L18,0)</f>
        <v>94.780397248614747</v>
      </c>
      <c r="P18" s="22">
        <f t="shared" ref="P18:P26" ca="1" si="13">IF(M18&gt;0,N18*100/M18,0)</f>
        <v>93.040954671950701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4375396</v>
      </c>
      <c r="M20" s="30">
        <f t="shared" ca="1" si="15"/>
        <v>4457196</v>
      </c>
      <c r="N20" s="30">
        <f t="shared" ca="1" si="15"/>
        <v>4147017.71</v>
      </c>
      <c r="O20" s="29">
        <f t="shared" ca="1" si="12"/>
        <v>94.780397248614747</v>
      </c>
      <c r="P20" s="29">
        <f t="shared" ca="1" si="13"/>
        <v>93.040954671950701</v>
      </c>
    </row>
    <row r="21" spans="1:16" ht="21.75" customHeight="1" x14ac:dyDescent="0.3">
      <c r="A21" s="31"/>
      <c r="B21" s="32"/>
      <c r="C21" s="33" t="s">
        <v>16</v>
      </c>
      <c r="D21" s="574" t="s">
        <v>20</v>
      </c>
      <c r="E21" s="575"/>
      <c r="F21" s="575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3314396</v>
      </c>
      <c r="M22" s="42">
        <f t="shared" ca="1" si="18"/>
        <v>3396196</v>
      </c>
      <c r="N22" s="41">
        <f t="shared" ca="1" si="18"/>
        <v>3086017.71</v>
      </c>
      <c r="O22" s="41">
        <f t="shared" ca="1" si="17"/>
        <v>93.109505019919169</v>
      </c>
      <c r="P22" s="41">
        <f t="shared" ca="1" si="13"/>
        <v>90.866890780155202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2289329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1025067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4" t="s">
        <v>23</v>
      </c>
      <c r="E25" s="575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1061000</v>
      </c>
      <c r="M26" s="50">
        <f t="shared" ca="1" si="22"/>
        <v>1061000</v>
      </c>
      <c r="N26" s="50">
        <f t="shared" ca="1" si="22"/>
        <v>1061000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85" t="s">
        <v>25</v>
      </c>
      <c r="B27" s="580"/>
      <c r="C27" s="580"/>
      <c r="D27" s="580"/>
      <c r="E27" s="580"/>
      <c r="F27" s="580"/>
      <c r="G27" s="58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4" t="s">
        <v>17</v>
      </c>
      <c r="E28" s="573"/>
      <c r="F28" s="573"/>
      <c r="G28" s="573"/>
      <c r="H28" s="20" t="s">
        <v>12</v>
      </c>
      <c r="I28" s="21"/>
      <c r="J28" s="21"/>
      <c r="K28" s="22"/>
      <c r="L28" s="23">
        <f t="shared" ref="L28:N28" ca="1" si="23">L29+L30</f>
        <v>1652434</v>
      </c>
      <c r="M28" s="23">
        <f t="shared" si="23"/>
        <v>0</v>
      </c>
      <c r="N28" s="23">
        <f t="shared" ca="1" si="23"/>
        <v>1485131.2</v>
      </c>
      <c r="O28" s="22">
        <f t="shared" ref="O28:O30" ca="1" si="24">IF(L28&gt;0,N28*100/L28,0)</f>
        <v>89.875371724377487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1652434</v>
      </c>
      <c r="M30" s="30">
        <f t="shared" si="27"/>
        <v>0</v>
      </c>
      <c r="N30" s="30">
        <f t="shared" ca="1" si="27"/>
        <v>1485131.2</v>
      </c>
      <c r="O30" s="29">
        <f t="shared" ca="1" si="24"/>
        <v>89.875371724377487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4" t="s">
        <v>20</v>
      </c>
      <c r="E31" s="575"/>
      <c r="F31" s="575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1652434</v>
      </c>
      <c r="M32" s="41">
        <f t="shared" si="30"/>
        <v>0</v>
      </c>
      <c r="N32" s="41">
        <f t="shared" ca="1" si="30"/>
        <v>1485131.2</v>
      </c>
      <c r="O32" s="41">
        <f t="shared" ca="1" si="29"/>
        <v>89.875371724377487</v>
      </c>
      <c r="P32" s="41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1652434</v>
      </c>
      <c r="M34" s="41">
        <f t="shared" si="32"/>
        <v>0</v>
      </c>
      <c r="N34" s="41">
        <f t="shared" ca="1" si="32"/>
        <v>1485131.2</v>
      </c>
      <c r="O34" s="41">
        <f t="shared" ca="1" si="29"/>
        <v>89.875371724377487</v>
      </c>
      <c r="P34" s="41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4" t="s">
        <v>23</v>
      </c>
      <c r="E35" s="575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4375396</v>
      </c>
      <c r="M37" s="55">
        <f t="shared" ca="1" si="33"/>
        <v>4457196</v>
      </c>
      <c r="N37" s="55">
        <f t="shared" ca="1" si="33"/>
        <v>4147017.71</v>
      </c>
      <c r="O37" s="56">
        <f t="shared" ca="1" si="29"/>
        <v>94.780397248614747</v>
      </c>
      <c r="P37" s="56">
        <f t="shared" ca="1" si="25"/>
        <v>93.040954671950701</v>
      </c>
    </row>
    <row r="38" spans="1:16" ht="21.75" customHeight="1" x14ac:dyDescent="0.3">
      <c r="A38" s="579" t="s">
        <v>27</v>
      </c>
      <c r="B38" s="580"/>
      <c r="C38" s="580"/>
      <c r="D38" s="580"/>
      <c r="E38" s="580"/>
      <c r="F38" s="580"/>
      <c r="G38" s="581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82" t="s">
        <v>28</v>
      </c>
      <c r="C39" s="573"/>
      <c r="D39" s="573"/>
      <c r="E39" s="573"/>
      <c r="F39" s="573"/>
      <c r="G39" s="573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83" t="s">
        <v>17</v>
      </c>
      <c r="E41" s="575"/>
      <c r="F41" s="575"/>
      <c r="G41" s="575"/>
      <c r="H41" s="76" t="s">
        <v>12</v>
      </c>
      <c r="I41" s="77"/>
      <c r="J41" s="77"/>
      <c r="K41" s="78"/>
      <c r="L41" s="79">
        <f t="shared" ref="L41:N41" ca="1" si="34">L42+L43</f>
        <v>698900</v>
      </c>
      <c r="M41" s="79">
        <f t="shared" ca="1" si="34"/>
        <v>698900</v>
      </c>
      <c r="N41" s="79">
        <f t="shared" ca="1" si="34"/>
        <v>642425.04</v>
      </c>
      <c r="O41" s="78">
        <f t="shared" ref="O41:O43" ca="1" si="35">IF(L41&gt;0,N41*100/L41,0)</f>
        <v>91.919450565173847</v>
      </c>
      <c r="P41" s="78">
        <f t="shared" ref="P41:P43" ca="1" si="36">IF(M41&gt;0,N41*100/M41,0)</f>
        <v>91.919450565173847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698900</v>
      </c>
      <c r="M43" s="79">
        <f t="shared" ca="1" si="38"/>
        <v>698900</v>
      </c>
      <c r="N43" s="79">
        <f t="shared" ca="1" si="38"/>
        <v>642425.04</v>
      </c>
      <c r="O43" s="78">
        <f t="shared" ca="1" si="35"/>
        <v>91.919450565173847</v>
      </c>
      <c r="P43" s="78">
        <f t="shared" ca="1" si="36"/>
        <v>91.919450565173847</v>
      </c>
    </row>
    <row r="44" spans="1:16" ht="21.75" customHeight="1" x14ac:dyDescent="0.3">
      <c r="A44" s="80"/>
      <c r="B44" s="81"/>
      <c r="C44" s="82" t="s">
        <v>16</v>
      </c>
      <c r="D44" s="576" t="s">
        <v>20</v>
      </c>
      <c r="E44" s="575"/>
      <c r="F44" s="575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698900</v>
      </c>
      <c r="M45" s="91">
        <f ca="1">IFERROR(__xludf.DUMMYFUNCTION("IMPORTRANGE(""https://docs.google.com/spreadsheets/d/1Yj_ptqi66GCucihVvJfMjLAmec39IyEx_6qawtMGysU/edit?usp=sharing"",""สบก!Q92"")"),698900)</f>
        <v>698900</v>
      </c>
      <c r="N45" s="91">
        <f ca="1">IFERROR(__xludf.DUMMYFUNCTION("IMPORTRANGE(""https://docs.google.com/spreadsheets/d/1Yj_ptqi66GCucihVvJfMjLAmec39IyEx_6qawtMGysU/edit?usp=sharing"",""สบก!R92"")"),642425.04)</f>
        <v>642425.04</v>
      </c>
      <c r="O45" s="92">
        <f ca="1">IF(L45&gt;0,N45*100/L45,0)</f>
        <v>91.919450565173847</v>
      </c>
      <c r="P45" s="92">
        <f ca="1">IF(M45&gt;0,N45*100/M45,0)</f>
        <v>91.919450565173847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IFERROR(__xludf.DUMMYFUNCTION("IMPORTRANGE(""https://docs.google.com/spreadsheets/d/1Yj_ptqi66GCucihVvJfMjLAmec39IyEx_6qawtMGysU/edit?usp=sharing"",""สบก!M92"")"),698900)</f>
        <v>698900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IFERROR(__xludf.DUMMYFUNCTION("IMPORTRANGE(""https://docs.google.com/spreadsheets/d/1Yj_ptqi66GCucihVvJfMjLAmec39IyEx_6qawtMGysU/edit?usp=sharing"",""สบก!N92"")"),0)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6" t="s">
        <v>23</v>
      </c>
      <c r="E48" s="57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IFERROR(__xludf.DUMMYFUNCTION("IMPORTRANGE(""https://docs.google.com/spreadsheets/d/1Yj_ptqi66GCucihVvJfMjLAmec39IyEx_6qawtMGysU/edit?usp=sharing"",""สบก!O92"")"),0)</f>
        <v>0</v>
      </c>
      <c r="M49" s="101"/>
      <c r="N49" s="91">
        <f ca="1">IFERROR(__xludf.DUMMYFUNCTION("IMPORTRANGE(""https://docs.google.com/spreadsheets/d/1Yj_ptqi66GCucihVvJfMjLAmec39IyEx_6qawtMGysU/edit?usp=sharing"",""สบก!S92"")"),0)</f>
        <v>0</v>
      </c>
      <c r="O49" s="101">
        <f ca="1">IF(L49&gt;0,N49*100/L49,0)</f>
        <v>0</v>
      </c>
      <c r="P49" s="101"/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577" t="s">
        <v>32</v>
      </c>
      <c r="C52" s="575"/>
      <c r="D52" s="575"/>
      <c r="E52" s="575"/>
      <c r="F52" s="575"/>
      <c r="G52" s="575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578" t="s">
        <v>17</v>
      </c>
      <c r="E53" s="575"/>
      <c r="F53" s="575"/>
      <c r="G53" s="575"/>
      <c r="H53" s="122" t="s">
        <v>12</v>
      </c>
      <c r="I53" s="123"/>
      <c r="J53" s="123"/>
      <c r="K53" s="124"/>
      <c r="L53" s="125">
        <f t="shared" ref="L53:N53" ca="1" si="39">L54+L55</f>
        <v>685429</v>
      </c>
      <c r="M53" s="125">
        <f t="shared" ca="1" si="39"/>
        <v>685429</v>
      </c>
      <c r="N53" s="125">
        <f t="shared" ca="1" si="39"/>
        <v>623233</v>
      </c>
      <c r="O53" s="124">
        <f t="shared" ref="O53:O55" ca="1" si="40">IF(L53&gt;0,N53*100/L53,0)</f>
        <v>90.925974827443838</v>
      </c>
      <c r="P53" s="124">
        <f t="shared" ref="P53:P55" ca="1" si="41">IF(M53&gt;0,N53*100/M53,0)</f>
        <v>90.925974827443838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685429</v>
      </c>
      <c r="M55" s="125">
        <f t="shared" ca="1" si="43"/>
        <v>685429</v>
      </c>
      <c r="N55" s="125">
        <f t="shared" ca="1" si="43"/>
        <v>623233</v>
      </c>
      <c r="O55" s="124">
        <f t="shared" ca="1" si="40"/>
        <v>90.925974827443838</v>
      </c>
      <c r="P55" s="124">
        <f t="shared" ca="1" si="41"/>
        <v>90.925974827443838</v>
      </c>
    </row>
    <row r="56" spans="1:16" ht="21.75" customHeight="1" x14ac:dyDescent="0.3">
      <c r="A56" s="80"/>
      <c r="B56" s="81"/>
      <c r="C56" s="82" t="s">
        <v>16</v>
      </c>
      <c r="D56" s="576" t="s">
        <v>20</v>
      </c>
      <c r="E56" s="575"/>
      <c r="F56" s="575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685429</v>
      </c>
      <c r="M57" s="91">
        <f ca="1">IFERROR(__xludf.DUMMYFUNCTION("IMPORTRANGE(""https://docs.google.com/spreadsheets/d/1Yj_ptqi66GCucihVvJfMjLAmec39IyEx_6qawtMGysU/edit?usp=sharing"",""สบก!Z92"")"),685429)</f>
        <v>685429</v>
      </c>
      <c r="N57" s="91">
        <f ca="1">IFERROR(__xludf.DUMMYFUNCTION("IMPORTRANGE(""https://docs.google.com/spreadsheets/d/1Yj_ptqi66GCucihVvJfMjLAmec39IyEx_6qawtMGysU/edit?usp=sharing"",""สบก!AA92"")"),623233)</f>
        <v>623233</v>
      </c>
      <c r="O57" s="92">
        <f ca="1">IF(L57&gt;0,N57*100/L57,0)</f>
        <v>90.925974827443838</v>
      </c>
      <c r="P57" s="92">
        <f ca="1">IF(M57&gt;0,N57*100/M57,0)</f>
        <v>90.925974827443838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IFERROR(__xludf.DUMMYFUNCTION("IMPORTRANGE(""https://docs.google.com/spreadsheets/d/1Yj_ptqi66GCucihVvJfMjLAmec39IyEx_6qawtMGysU/edit?usp=sharing"",""สบก!V92"")"),685429)</f>
        <v>685429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IFERROR(__xludf.DUMMYFUNCTION("IMPORTRANGE(""https://docs.google.com/spreadsheets/d/1Yj_ptqi66GCucihVvJfMjLAmec39IyEx_6qawtMGysU/edit?usp=sharing"",""สบก!W92"")"),0)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6" t="s">
        <v>23</v>
      </c>
      <c r="E60" s="57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IFERROR(__xludf.DUMMYFUNCTION("IMPORTRANGE(""https://docs.google.com/spreadsheets/d/1Yj_ptqi66GCucihVvJfMjLAmec39IyEx_6qawtMGysU/edit?usp=sharing"",""สบก!X92"")"),0)</f>
        <v>0</v>
      </c>
      <c r="M61" s="101"/>
      <c r="N61" s="91">
        <f ca="1">IFERROR(__xludf.DUMMYFUNCTION("IMPORTRANGE(""https://docs.google.com/spreadsheets/d/1Yj_ptqi66GCucihVvJfMjLAmec39IyEx_6qawtMGysU/edit?usp=sharing"",""สบก!AB92"")"),0)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IFERROR(__xludf.DUMMYFUNCTION("IMPORTRANGE(""https://docs.google.com/spreadsheets/d/1IYY_tgx_IHuhSq3AJ5eI5OnqOPBNLWSHKh2a30DoXe8/edit?usp=sharing"",""สงขลา!I9"")"),0)</f>
        <v>0</v>
      </c>
      <c r="J64" s="146">
        <f ca="1">IFERROR(__xludf.DUMMYFUNCTION("IMPORTRANGE(""https://docs.google.com/spreadsheets/d/1IYY_tgx_IHuhSq3AJ5eI5OnqOPBNLWSHKh2a30DoXe8/edit?usp=sharing"",""สงขลา!J9"")"),0)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IFERROR(__xludf.DUMMYFUNCTION("IMPORTRANGE(""https://docs.google.com/spreadsheets/d/1IYY_tgx_IHuhSq3AJ5eI5OnqOPBNLWSHKh2a30DoXe8/edit?usp=sharing"",""สงขลา!I10"")"),0)</f>
        <v>0</v>
      </c>
      <c r="J65" s="146">
        <f ca="1">IFERROR(__xludf.DUMMYFUNCTION("IMPORTRANGE(""https://docs.google.com/spreadsheets/d/1IYY_tgx_IHuhSq3AJ5eI5OnqOPBNLWSHKh2a30DoXe8/edit?usp=sharing"",""สงขลา!J10"")"),0)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2" t="s">
        <v>17</v>
      </c>
      <c r="E66" s="573"/>
      <c r="F66" s="573"/>
      <c r="G66" s="573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3">
      <c r="A69" s="162"/>
      <c r="B69" s="163"/>
      <c r="C69" s="163" t="s">
        <v>16</v>
      </c>
      <c r="D69" s="574" t="s">
        <v>20</v>
      </c>
      <c r="E69" s="575"/>
      <c r="F69" s="575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IFERROR(__xludf.DUMMYFUNCTION("IMPORTRANGE(""https://docs.google.com/spreadsheets/d/1Yj_ptqi66GCucihVvJfMjLAmec39IyEx_6qawtMGysU/edit?usp=sharing"",""สบก!AI92"")"),0)</f>
        <v>0</v>
      </c>
      <c r="N70" s="174">
        <f ca="1">IFERROR(__xludf.DUMMYFUNCTION("IMPORTRANGE(""https://docs.google.com/spreadsheets/d/1Yj_ptqi66GCucihVvJfMjLAmec39IyEx_6qawtMGysU/edit?usp=sharing"",""สบก!AJ92"")"),0)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IFERROR(__xludf.DUMMYFUNCTION("IMPORTRANGE(""https://docs.google.com/spreadsheets/d/1Yj_ptqi66GCucihVvJfMjLAmec39IyEx_6qawtMGysU/edit?usp=sharing"",""สบก!AE92"")"),0)</f>
        <v>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IFERROR(__xludf.DUMMYFUNCTION("IMPORTRANGE(""https://docs.google.com/spreadsheets/d/1Yj_ptqi66GCucihVvJfMjLAmec39IyEx_6qawtMGysU/edit?usp=sharing"",""สบก!AF92"")"),0)</f>
        <v>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6" t="s">
        <v>23</v>
      </c>
      <c r="E73" s="575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IFERROR(__xludf.DUMMYFUNCTION("IMPORTRANGE(""https://docs.google.com/spreadsheets/d/1Yj_ptqi66GCucihVvJfMjLAmec39IyEx_6qawtMGysU/edit?usp=sharing"",""สบก!AG92"")"),0)</f>
        <v>0</v>
      </c>
      <c r="M74" s="101"/>
      <c r="N74" s="91">
        <f ca="1">IFERROR(__xludf.DUMMYFUNCTION("IMPORTRANGE(""https://docs.google.com/spreadsheets/d/1Yj_ptqi66GCucihVvJfMjLAmec39IyEx_6qawtMGysU/edit?usp=sharing"",""สบก!AK92"")"),0)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IFERROR(__xludf.DUMMYFUNCTION("IMPORTRANGE(""https://docs.google.com/spreadsheets/d/1IYY_tgx_IHuhSq3AJ5eI5OnqOPBNLWSHKh2a30DoXe8/edit?usp=sharing"",""สงขลา!J16"")"),0)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IFERROR(__xludf.DUMMYFUNCTION("IMPORTRANGE(""https://docs.google.com/spreadsheets/d/1IYY_tgx_IHuhSq3AJ5eI5OnqOPBNLWSHKh2a30DoXe8/edit?usp=sharing"",""สงขลา!J17"")"),0)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IFERROR(__xludf.DUMMYFUNCTION("IMPORTRANGE(""https://docs.google.com/spreadsheets/d/1IYY_tgx_IHuhSq3AJ5eI5OnqOPBNLWSHKh2a30DoXe8/edit?usp=sharing"",""สงขลา!J18"")"),0)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IFERROR(__xludf.DUMMYFUNCTION("IMPORTRANGE(""https://docs.google.com/spreadsheets/d/1IYY_tgx_IHuhSq3AJ5eI5OnqOPBNLWSHKh2a30DoXe8/edit?usp=sharing"",""สงขลา!J19"")"),0)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IFERROR(__xludf.DUMMYFUNCTION("IMPORTRANGE(""https://docs.google.com/spreadsheets/d/1IYY_tgx_IHuhSq3AJ5eI5OnqOPBNLWSHKh2a30DoXe8/edit?usp=sharing"",""สงขลา!I20"")"),0)</f>
        <v>0</v>
      </c>
      <c r="J80" s="207">
        <f ca="1">IFERROR(__xludf.DUMMYFUNCTION("IMPORTRANGE(""https://docs.google.com/spreadsheets/d/1IYY_tgx_IHuhSq3AJ5eI5OnqOPBNLWSHKh2a30DoXe8/edit?usp=sharing"",""สงขลา!J20"")"),0)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IFERROR(__xludf.DUMMYFUNCTION("IMPORTRANGE(""https://docs.google.com/spreadsheets/d/1IYY_tgx_IHuhSq3AJ5eI5OnqOPBNLWSHKh2a30DoXe8/edit?usp=sharing"",""สงขลา!I21"")"),0)</f>
        <v>0</v>
      </c>
      <c r="J81" s="207">
        <f ca="1">IFERROR(__xludf.DUMMYFUNCTION("IMPORTRANGE(""https://docs.google.com/spreadsheets/d/1IYY_tgx_IHuhSq3AJ5eI5OnqOPBNLWSHKh2a30DoXe8/edit?usp=sharing"",""สงขลา!J21"")"),0)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IFERROR(__xludf.DUMMYFUNCTION("IMPORTRANGE(""https://docs.google.com/spreadsheets/d/1IYY_tgx_IHuhSq3AJ5eI5OnqOPBNLWSHKh2a30DoXe8/edit?usp=sharing"",""สงขลา!I22"")"),0)</f>
        <v>0</v>
      </c>
      <c r="J82" s="210">
        <f ca="1">IFERROR(__xludf.DUMMYFUNCTION("IMPORTRANGE(""https://docs.google.com/spreadsheets/d/1IYY_tgx_IHuhSq3AJ5eI5OnqOPBNLWSHKh2a30DoXe8/edit?usp=sharing"",""สงขลา!J22"")"),0)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IFERROR(__xludf.DUMMYFUNCTION("IMPORTRANGE(""https://docs.google.com/spreadsheets/d/1IYY_tgx_IHuhSq3AJ5eI5OnqOPBNLWSHKh2a30DoXe8/edit?usp=sharing"",""สงขลา!I23"")"),0)</f>
        <v>0</v>
      </c>
      <c r="J83" s="210">
        <f ca="1">IFERROR(__xludf.DUMMYFUNCTION("IMPORTRANGE(""https://docs.google.com/spreadsheets/d/1IYY_tgx_IHuhSq3AJ5eI5OnqOPBNLWSHKh2a30DoXe8/edit?usp=sharing"",""สงขลา!J23"")"),0)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IFERROR(__xludf.DUMMYFUNCTION("IMPORTRANGE(""https://docs.google.com/spreadsheets/d/1IYY_tgx_IHuhSq3AJ5eI5OnqOPBNLWSHKh2a30DoXe8/edit?usp=sharing"",""สงขลา!I24"")"),0)</f>
        <v>0</v>
      </c>
      <c r="J84" s="195">
        <f ca="1">IFERROR(__xludf.DUMMYFUNCTION("IMPORTRANGE(""https://docs.google.com/spreadsheets/d/1IYY_tgx_IHuhSq3AJ5eI5OnqOPBNLWSHKh2a30DoXe8/edit?usp=sharing"",""สงขลา!J24"")"),0)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IFERROR(__xludf.DUMMYFUNCTION("IMPORTRANGE(""https://docs.google.com/spreadsheets/d/1IYY_tgx_IHuhSq3AJ5eI5OnqOPBNLWSHKh2a30DoXe8/edit?usp=sharing"",""สงขลา!I25"")"),0)</f>
        <v>0</v>
      </c>
      <c r="J85" s="195">
        <f ca="1">IFERROR(__xludf.DUMMYFUNCTION("IMPORTRANGE(""https://docs.google.com/spreadsheets/d/1IYY_tgx_IHuhSq3AJ5eI5OnqOPBNLWSHKh2a30DoXe8/edit?usp=sharing"",""สงขลา!J25"")"),0)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IFERROR(__xludf.DUMMYFUNCTION("IMPORTRANGE(""https://docs.google.com/spreadsheets/d/1IYY_tgx_IHuhSq3AJ5eI5OnqOPBNLWSHKh2a30DoXe8/edit?usp=sharing"",""สงขลา!I26"")"),0)</f>
        <v>0</v>
      </c>
      <c r="J86" s="210">
        <f ca="1">IFERROR(__xludf.DUMMYFUNCTION("IMPORTRANGE(""https://docs.google.com/spreadsheets/d/1IYY_tgx_IHuhSq3AJ5eI5OnqOPBNLWSHKh2a30DoXe8/edit?usp=sharing"",""สงขลา!J26"")"),0)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IFERROR(__xludf.DUMMYFUNCTION("IMPORTRANGE(""https://docs.google.com/spreadsheets/d/1IYY_tgx_IHuhSq3AJ5eI5OnqOPBNLWSHKh2a30DoXe8/edit?usp=sharing"",""สงขลา!I27"")"),0)</f>
        <v>0</v>
      </c>
      <c r="J87" s="210">
        <f ca="1">IFERROR(__xludf.DUMMYFUNCTION("IMPORTRANGE(""https://docs.google.com/spreadsheets/d/1IYY_tgx_IHuhSq3AJ5eI5OnqOPBNLWSHKh2a30DoXe8/edit?usp=sharing"",""สงขลา!J27"")"),0)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IFERROR(__xludf.DUMMYFUNCTION("IMPORTRANGE(""https://docs.google.com/spreadsheets/d/1IYY_tgx_IHuhSq3AJ5eI5OnqOPBNLWSHKh2a30DoXe8/edit?usp=sharing"",""สงขลา!I28"")"),0)</f>
        <v>0</v>
      </c>
      <c r="J88" s="210">
        <f ca="1">IFERROR(__xludf.DUMMYFUNCTION("IMPORTRANGE(""https://docs.google.com/spreadsheets/d/1IYY_tgx_IHuhSq3AJ5eI5OnqOPBNLWSHKh2a30DoXe8/edit?usp=sharing"",""สงขลา!J28"")"),0)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IFERROR(__xludf.DUMMYFUNCTION("IMPORTRANGE(""https://docs.google.com/spreadsheets/d/1IYY_tgx_IHuhSq3AJ5eI5OnqOPBNLWSHKh2a30DoXe8/edit?usp=sharing"",""สงขลา!J29"")"),0)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IFERROR(__xludf.DUMMYFUNCTION("IMPORTRANGE(""https://docs.google.com/spreadsheets/d/1IYY_tgx_IHuhSq3AJ5eI5OnqOPBNLWSHKh2a30DoXe8/edit?usp=sharing"",""สงขลา!J30"")"),0)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IFERROR(__xludf.DUMMYFUNCTION("IMPORTRANGE(""https://docs.google.com/spreadsheets/d/1IYY_tgx_IHuhSq3AJ5eI5OnqOPBNLWSHKh2a30DoXe8/edit?usp=sharing"",""สงขลา!I32"")"),0)</f>
        <v>0</v>
      </c>
      <c r="J92" s="146">
        <f ca="1">IFERROR(__xludf.DUMMYFUNCTION("IMPORTRANGE(""https://docs.google.com/spreadsheets/d/1IYY_tgx_IHuhSq3AJ5eI5OnqOPBNLWSHKh2a30DoXe8/edit?usp=sharing"",""สงขลา!J32"")"),0)</f>
        <v>0</v>
      </c>
      <c r="K92" s="147">
        <f t="shared" ref="K92:K93" ca="1" si="51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IFERROR(__xludf.DUMMYFUNCTION("IMPORTRANGE(""https://docs.google.com/spreadsheets/d/1IYY_tgx_IHuhSq3AJ5eI5OnqOPBNLWSHKh2a30DoXe8/edit?usp=sharing"",""สงขลา!I33"")"),0)</f>
        <v>0</v>
      </c>
      <c r="J93" s="146">
        <f ca="1">IFERROR(__xludf.DUMMYFUNCTION("IMPORTRANGE(""https://docs.google.com/spreadsheets/d/1IYY_tgx_IHuhSq3AJ5eI5OnqOPBNLWSHKh2a30DoXe8/edit?usp=sharing"",""สงขลา!J33"")"),0)</f>
        <v>0</v>
      </c>
      <c r="K93" s="147">
        <f t="shared" ca="1" si="51"/>
        <v>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2" t="s">
        <v>17</v>
      </c>
      <c r="E94" s="573"/>
      <c r="F94" s="573"/>
      <c r="G94" s="573"/>
      <c r="H94" s="153" t="s">
        <v>12</v>
      </c>
      <c r="I94" s="166"/>
      <c r="J94" s="166"/>
      <c r="K94" s="167"/>
      <c r="L94" s="156">
        <f t="shared" ref="L94:N94" ca="1" si="52">L95+L96</f>
        <v>0</v>
      </c>
      <c r="M94" s="156">
        <f t="shared" ca="1" si="52"/>
        <v>0</v>
      </c>
      <c r="N94" s="156">
        <f t="shared" ca="1" si="52"/>
        <v>0</v>
      </c>
      <c r="O94" s="155">
        <f t="shared" ref="O94:O96" ca="1" si="53">IF(L94&gt;0,N94*100/L94,0)</f>
        <v>0</v>
      </c>
      <c r="P94" s="155">
        <f t="shared" ref="P94:P96" ca="1" si="54">IF(M94&gt;0,N94*100/M94,0)</f>
        <v>0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0</v>
      </c>
      <c r="M96" s="161">
        <f t="shared" ca="1" si="56"/>
        <v>0</v>
      </c>
      <c r="N96" s="161">
        <f t="shared" ca="1" si="56"/>
        <v>0</v>
      </c>
      <c r="O96" s="160">
        <f t="shared" ca="1" si="53"/>
        <v>0</v>
      </c>
      <c r="P96" s="160">
        <f t="shared" ca="1" si="54"/>
        <v>0</v>
      </c>
    </row>
    <row r="97" spans="1:16" ht="21.75" customHeight="1" x14ac:dyDescent="0.3">
      <c r="A97" s="162"/>
      <c r="B97" s="163"/>
      <c r="C97" s="163" t="s">
        <v>16</v>
      </c>
      <c r="D97" s="574" t="s">
        <v>20</v>
      </c>
      <c r="E97" s="575"/>
      <c r="F97" s="575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0</v>
      </c>
      <c r="M98" s="173">
        <f ca="1">IFERROR(__xludf.DUMMYFUNCTION("IMPORTRANGE(""https://docs.google.com/spreadsheets/d/1Yj_ptqi66GCucihVvJfMjLAmec39IyEx_6qawtMGysU/edit?usp=sharing"",""สบก!AR92"")"),0)</f>
        <v>0</v>
      </c>
      <c r="N98" s="174">
        <f ca="1">IFERROR(__xludf.DUMMYFUNCTION("IMPORTRANGE(""https://docs.google.com/spreadsheets/d/1Yj_ptqi66GCucihVvJfMjLAmec39IyEx_6qawtMGysU/edit?usp=sharing"",""สบก!AS92"")"),0)</f>
        <v>0</v>
      </c>
      <c r="O98" s="175">
        <f ca="1">IF(L98&gt;0,N98*100/L98,0)</f>
        <v>0</v>
      </c>
      <c r="P98" s="175">
        <f ca="1">IF(M98&gt;0,N98*100/M98,0)</f>
        <v>0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IFERROR(__xludf.DUMMYFUNCTION("IMPORTRANGE(""https://docs.google.com/spreadsheets/d/1Yj_ptqi66GCucihVvJfMjLAmec39IyEx_6qawtMGysU/edit?usp=sharing"",""สบก!AN92"")"),0)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IFERROR(__xludf.DUMMYFUNCTION("IMPORTRANGE(""https://docs.google.com/spreadsheets/d/1Yj_ptqi66GCucihVvJfMjLAmec39IyEx_6qawtMGysU/edit?usp=sharing"",""สบก!AO92"")"),0)</f>
        <v>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6" t="s">
        <v>23</v>
      </c>
      <c r="E101" s="575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IFERROR(__xludf.DUMMYFUNCTION("IMPORTRANGE(""https://docs.google.com/spreadsheets/d/1Yj_ptqi66GCucihVvJfMjLAmec39IyEx_6qawtMGysU/edit?usp=sharing"",""สบก!AP92"")"),0)</f>
        <v>0</v>
      </c>
      <c r="M102" s="101"/>
      <c r="N102" s="91">
        <f ca="1">IFERROR(__xludf.DUMMYFUNCTION("IMPORTRANGE(""https://docs.google.com/spreadsheets/d/1Yj_ptqi66GCucihVvJfMjLAmec39IyEx_6qawtMGysU/edit?usp=sharing"",""สบก!AT92"")"),0)</f>
        <v>0</v>
      </c>
      <c r="O102" s="101">
        <f ca="1">IF(L102&gt;0,N102*100/L102,0)</f>
        <v>0</v>
      </c>
      <c r="P102" s="101"/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IFERROR(__xludf.DUMMYFUNCTION("IMPORTRANGE(""https://docs.google.com/spreadsheets/d/1IYY_tgx_IHuhSq3AJ5eI5OnqOPBNLWSHKh2a30DoXe8/edit?usp=sharing"",""สงขลา!J39"")"),0)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IFERROR(__xludf.DUMMYFUNCTION("IMPORTRANGE(""https://docs.google.com/spreadsheets/d/1IYY_tgx_IHuhSq3AJ5eI5OnqOPBNLWSHKh2a30DoXe8/edit?usp=sharing"",""สงขลา!J40"")"),0)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IFERROR(__xludf.DUMMYFUNCTION("IMPORTRANGE(""https://docs.google.com/spreadsheets/d/1IYY_tgx_IHuhSq3AJ5eI5OnqOPBNLWSHKh2a30DoXe8/edit?usp=sharing"",""สงขลา!J41"")"),0)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IFERROR(__xludf.DUMMYFUNCTION("IMPORTRANGE(""https://docs.google.com/spreadsheets/d/1IYY_tgx_IHuhSq3AJ5eI5OnqOPBNLWSHKh2a30DoXe8/edit?usp=sharing"",""สงขลา!J42"")"),0)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IFERROR(__xludf.DUMMYFUNCTION("IMPORTRANGE(""https://docs.google.com/spreadsheets/d/1IYY_tgx_IHuhSq3AJ5eI5OnqOPBNLWSHKh2a30DoXe8/edit?usp=sharing"",""สงขลา!I43"")"),0)</f>
        <v>0</v>
      </c>
      <c r="J108" s="210">
        <f ca="1">IFERROR(__xludf.DUMMYFUNCTION("IMPORTRANGE(""https://docs.google.com/spreadsheets/d/1IYY_tgx_IHuhSq3AJ5eI5OnqOPBNLWSHKh2a30DoXe8/edit?usp=sharing"",""สงขลา!J43"")"),0)</f>
        <v>0</v>
      </c>
      <c r="K108" s="230">
        <f t="shared" ref="K108:K113" ca="1" si="57">IF(I108&gt;0,J108*100/I108,0)</f>
        <v>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IFERROR(__xludf.DUMMYFUNCTION("IMPORTRANGE(""https://docs.google.com/spreadsheets/d/1IYY_tgx_IHuhSq3AJ5eI5OnqOPBNLWSHKh2a30DoXe8/edit?usp=sharing"",""สงขลา!I44"")"),0)</f>
        <v>0</v>
      </c>
      <c r="J109" s="210">
        <f ca="1">IFERROR(__xludf.DUMMYFUNCTION("IMPORTRANGE(""https://docs.google.com/spreadsheets/d/1IYY_tgx_IHuhSq3AJ5eI5OnqOPBNLWSHKh2a30DoXe8/edit?usp=sharing"",""สงขลา!J44"")"),0)</f>
        <v>0</v>
      </c>
      <c r="K109" s="230">
        <f t="shared" ca="1" si="57"/>
        <v>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IFERROR(__xludf.DUMMYFUNCTION("IMPORTRANGE(""https://docs.google.com/spreadsheets/d/1IYY_tgx_IHuhSq3AJ5eI5OnqOPBNLWSHKh2a30DoXe8/edit?usp=sharing"",""สงขลา!I45"")"),0)</f>
        <v>0</v>
      </c>
      <c r="J110" s="210">
        <f ca="1">IFERROR(__xludf.DUMMYFUNCTION("IMPORTRANGE(""https://docs.google.com/spreadsheets/d/1IYY_tgx_IHuhSq3AJ5eI5OnqOPBNLWSHKh2a30DoXe8/edit?usp=sharing"",""สงขลา!J45"")"),0)</f>
        <v>0</v>
      </c>
      <c r="K110" s="230">
        <f t="shared" ca="1" si="57"/>
        <v>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IFERROR(__xludf.DUMMYFUNCTION("IMPORTRANGE(""https://docs.google.com/spreadsheets/d/1IYY_tgx_IHuhSq3AJ5eI5OnqOPBNLWSHKh2a30DoXe8/edit?usp=sharing"",""สงขลา!I46"")"),0)</f>
        <v>0</v>
      </c>
      <c r="J111" s="210">
        <f ca="1">IFERROR(__xludf.DUMMYFUNCTION("IMPORTRANGE(""https://docs.google.com/spreadsheets/d/1IYY_tgx_IHuhSq3AJ5eI5OnqOPBNLWSHKh2a30DoXe8/edit?usp=sharing"",""สงขลา!J46"")"),0)</f>
        <v>0</v>
      </c>
      <c r="K111" s="230">
        <f t="shared" ca="1" si="57"/>
        <v>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IFERROR(__xludf.DUMMYFUNCTION("IMPORTRANGE(""https://docs.google.com/spreadsheets/d/1IYY_tgx_IHuhSq3AJ5eI5OnqOPBNLWSHKh2a30DoXe8/edit?usp=sharing"",""สงขลา!I47"")"),0)</f>
        <v>0</v>
      </c>
      <c r="J112" s="210">
        <f ca="1">IFERROR(__xludf.DUMMYFUNCTION("IMPORTRANGE(""https://docs.google.com/spreadsheets/d/1IYY_tgx_IHuhSq3AJ5eI5OnqOPBNLWSHKh2a30DoXe8/edit?usp=sharing"",""สงขลา!J47"")"),0)</f>
        <v>0</v>
      </c>
      <c r="K112" s="230">
        <f t="shared" ca="1" si="57"/>
        <v>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IFERROR(__xludf.DUMMYFUNCTION("IMPORTRANGE(""https://docs.google.com/spreadsheets/d/1IYY_tgx_IHuhSq3AJ5eI5OnqOPBNLWSHKh2a30DoXe8/edit?usp=sharing"",""สงขลา!I48"")"),0)</f>
        <v>0</v>
      </c>
      <c r="J113" s="210">
        <f ca="1">IFERROR(__xludf.DUMMYFUNCTION("IMPORTRANGE(""https://docs.google.com/spreadsheets/d/1IYY_tgx_IHuhSq3AJ5eI5OnqOPBNLWSHKh2a30DoXe8/edit?usp=sharing"",""สงขลา!J48"")"),0)</f>
        <v>0</v>
      </c>
      <c r="K113" s="230">
        <f t="shared" ca="1" si="57"/>
        <v>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IFERROR(__xludf.DUMMYFUNCTION("IMPORTRANGE(""https://docs.google.com/spreadsheets/d/1IYY_tgx_IHuhSq3AJ5eI5OnqOPBNLWSHKh2a30DoXe8/edit?usp=sharing"",""สงขลา!J49"")"),0)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IFERROR(__xludf.DUMMYFUNCTION("IMPORTRANGE(""https://docs.google.com/spreadsheets/d/1IYY_tgx_IHuhSq3AJ5eI5OnqOPBNLWSHKh2a30DoXe8/edit?usp=sharing"",""สงขลา!J50"")"),0)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IFERROR(__xludf.DUMMYFUNCTION("IMPORTRANGE(""https://docs.google.com/spreadsheets/d/1IYY_tgx_IHuhSq3AJ5eI5OnqOPBNLWSHKh2a30DoXe8/edit?usp=sharing"",""สงขลา!I52"")"),15)</f>
        <v>15</v>
      </c>
      <c r="J117" s="146">
        <f ca="1">IFERROR(__xludf.DUMMYFUNCTION("IMPORTRANGE(""https://docs.google.com/spreadsheets/d/1IYY_tgx_IHuhSq3AJ5eI5OnqOPBNLWSHKh2a30DoXe8/edit?usp=sharing"",""สงขลา!J52"")"),15)</f>
        <v>15</v>
      </c>
      <c r="K117" s="147">
        <f ca="1">IF(I117&gt;0,J117*100/I117,0)</f>
        <v>100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2" t="s">
        <v>17</v>
      </c>
      <c r="E118" s="573"/>
      <c r="F118" s="573"/>
      <c r="G118" s="573"/>
      <c r="H118" s="153" t="s">
        <v>12</v>
      </c>
      <c r="I118" s="166"/>
      <c r="J118" s="166"/>
      <c r="K118" s="167"/>
      <c r="L118" s="156">
        <f t="shared" ref="L118:N118" ca="1" si="58">L119+L120</f>
        <v>90812</v>
      </c>
      <c r="M118" s="156">
        <f t="shared" ca="1" si="58"/>
        <v>90812</v>
      </c>
      <c r="N118" s="156">
        <f t="shared" ca="1" si="58"/>
        <v>85880</v>
      </c>
      <c r="O118" s="155">
        <f t="shared" ref="O118:O120" ca="1" si="59">IF(L118&gt;0,N118*100/L118,0)</f>
        <v>94.568999691670697</v>
      </c>
      <c r="P118" s="155">
        <f t="shared" ref="P118:P120" ca="1" si="60">IF(M118&gt;0,N118*100/M118,0)</f>
        <v>94.568999691670697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90812</v>
      </c>
      <c r="M120" s="161">
        <f t="shared" ca="1" si="62"/>
        <v>90812</v>
      </c>
      <c r="N120" s="161">
        <f t="shared" ca="1" si="62"/>
        <v>85880</v>
      </c>
      <c r="O120" s="160">
        <f t="shared" ca="1" si="59"/>
        <v>94.568999691670697</v>
      </c>
      <c r="P120" s="160">
        <f t="shared" ca="1" si="60"/>
        <v>94.568999691670697</v>
      </c>
    </row>
    <row r="121" spans="1:16" ht="21.75" customHeight="1" x14ac:dyDescent="0.3">
      <c r="A121" s="162"/>
      <c r="B121" s="163"/>
      <c r="C121" s="163" t="s">
        <v>16</v>
      </c>
      <c r="D121" s="574" t="s">
        <v>20</v>
      </c>
      <c r="E121" s="575"/>
      <c r="F121" s="575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90812</v>
      </c>
      <c r="M122" s="173">
        <f ca="1">IFERROR(__xludf.DUMMYFUNCTION("IMPORTRANGE(""https://docs.google.com/spreadsheets/d/1Yj_ptqi66GCucihVvJfMjLAmec39IyEx_6qawtMGysU/edit?usp=sharing"",""สบก!BA92"")"),90812)</f>
        <v>90812</v>
      </c>
      <c r="N122" s="174">
        <f ca="1">IFERROR(__xludf.DUMMYFUNCTION("IMPORTRANGE(""https://docs.google.com/spreadsheets/d/1Yj_ptqi66GCucihVvJfMjLAmec39IyEx_6qawtMGysU/edit?usp=sharing"",""สบก!BB92"")"),85880)</f>
        <v>85880</v>
      </c>
      <c r="O122" s="175">
        <f ca="1">IF(L122&gt;0,N122*100/L122,0)</f>
        <v>94.568999691670697</v>
      </c>
      <c r="P122" s="175">
        <f ca="1">IF(M122&gt;0,N122*100/M122,0)</f>
        <v>94.568999691670697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IFERROR(__xludf.DUMMYFUNCTION("IMPORTRANGE(""https://docs.google.com/spreadsheets/d/1Yj_ptqi66GCucihVvJfMjLAmec39IyEx_6qawtMGysU/edit?usp=sharing"",""สบก!AW92"")"),0)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IFERROR(__xludf.DUMMYFUNCTION("IMPORTRANGE(""https://docs.google.com/spreadsheets/d/1Yj_ptqi66GCucihVvJfMjLAmec39IyEx_6qawtMGysU/edit?usp=sharing"",""สบก!AX92"")"),90812)</f>
        <v>90812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6" t="s">
        <v>23</v>
      </c>
      <c r="E125" s="575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IFERROR(__xludf.DUMMYFUNCTION("IMPORTRANGE(""https://docs.google.com/spreadsheets/d/1Yj_ptqi66GCucihVvJfMjLAmec39IyEx_6qawtMGysU/edit?usp=sharing"",""สบก!AY92"")"),0)</f>
        <v>0</v>
      </c>
      <c r="M126" s="101"/>
      <c r="N126" s="91">
        <f ca="1">IFERROR(__xludf.DUMMYFUNCTION("IMPORTRANGE(""https://docs.google.com/spreadsheets/d/1Yj_ptqi66GCucihVvJfMjLAmec39IyEx_6qawtMGysU/edit?usp=sharing"",""สบก!BC92"")"),0)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285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IFERROR(__xludf.DUMMYFUNCTION("IMPORTRANGE(""https://docs.google.com/spreadsheets/d/1IYY_tgx_IHuhSq3AJ5eI5OnqOPBNLWSHKh2a30DoXe8/edit?usp=sharing"",""สงขลา!J58"")"),0)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IFERROR(__xludf.DUMMYFUNCTION("IMPORTRANGE(""https://docs.google.com/spreadsheets/d/1IYY_tgx_IHuhSq3AJ5eI5OnqOPBNLWSHKh2a30DoXe8/edit?usp=sharing"",""สงขลา!J59"")"),1)</f>
        <v>1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IFERROR(__xludf.DUMMYFUNCTION("IMPORTRANGE(""https://docs.google.com/spreadsheets/d/1IYY_tgx_IHuhSq3AJ5eI5OnqOPBNLWSHKh2a30DoXe8/edit?usp=sharing"",""สงขลา!J60"")"),1)</f>
        <v>1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IFERROR(__xludf.DUMMYFUNCTION("IMPORTRANGE(""https://docs.google.com/spreadsheets/d/1IYY_tgx_IHuhSq3AJ5eI5OnqOPBNLWSHKh2a30DoXe8/edit?usp=sharing"",""สงขลา!J61"")"),1)</f>
        <v>1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IFERROR(__xludf.DUMMYFUNCTION("IMPORTRANGE(""https://docs.google.com/spreadsheets/d/1IYY_tgx_IHuhSq3AJ5eI5OnqOPBNLWSHKh2a30DoXe8/edit?usp=sharing"",""สงขลา!I62"")"),15)</f>
        <v>15</v>
      </c>
      <c r="J132" s="210">
        <f ca="1">IFERROR(__xludf.DUMMYFUNCTION("IMPORTRANGE(""https://docs.google.com/spreadsheets/d/1IYY_tgx_IHuhSq3AJ5eI5OnqOPBNLWSHKh2a30DoXe8/edit?usp=sharing"",""สงขลา!J62"")"),15)</f>
        <v>15</v>
      </c>
      <c r="K132" s="230">
        <f t="shared" ref="K132:K133" ca="1" si="63">IF(I132&gt;0,J132*100/I132,0)</f>
        <v>100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IFERROR(__xludf.DUMMYFUNCTION("IMPORTRANGE(""https://docs.google.com/spreadsheets/d/1IYY_tgx_IHuhSq3AJ5eI5OnqOPBNLWSHKh2a30DoXe8/edit?usp=sharing"",""สงขลา!I63"")"),15)</f>
        <v>15</v>
      </c>
      <c r="J133" s="210">
        <f ca="1">IFERROR(__xludf.DUMMYFUNCTION("IMPORTRANGE(""https://docs.google.com/spreadsheets/d/1IYY_tgx_IHuhSq3AJ5eI5OnqOPBNLWSHKh2a30DoXe8/edit?usp=sharing"",""สงขลา!J63"")"),15)</f>
        <v>15</v>
      </c>
      <c r="K133" s="230">
        <f t="shared" ca="1" si="63"/>
        <v>100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IFERROR(__xludf.DUMMYFUNCTION("IMPORTRANGE(""https://docs.google.com/spreadsheets/d/1IYY_tgx_IHuhSq3AJ5eI5OnqOPBNLWSHKh2a30DoXe8/edit?usp=sharing"",""สงขลา!J64"")"),0)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IFERROR(__xludf.DUMMYFUNCTION("IMPORTRANGE(""https://docs.google.com/spreadsheets/d/1IYY_tgx_IHuhSq3AJ5eI5OnqOPBNLWSHKh2a30DoXe8/edit?usp=sharing"",""สงขลา!J65"")"),0)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IFERROR(__xludf.DUMMYFUNCTION("IMPORTRANGE(""https://docs.google.com/spreadsheets/d/1IYY_tgx_IHuhSq3AJ5eI5OnqOPBNLWSHKh2a30DoXe8/edit?usp=sharing"",""สงขลา!I68"")"),0)</f>
        <v>0</v>
      </c>
      <c r="J138" s="273">
        <f ca="1">IFERROR(__xludf.DUMMYFUNCTION("IMPORTRANGE(""https://docs.google.com/spreadsheets/d/1IYY_tgx_IHuhSq3AJ5eI5OnqOPBNLWSHKh2a30DoXe8/edit?usp=sharing"",""สงขลา!J68"")"),0)</f>
        <v>0</v>
      </c>
      <c r="K138" s="274">
        <f ca="1">IF(I138&gt;0,J138*100/I138,0)</f>
        <v>0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2" t="s">
        <v>17</v>
      </c>
      <c r="E140" s="573"/>
      <c r="F140" s="573"/>
      <c r="G140" s="573"/>
      <c r="H140" s="153" t="s">
        <v>12</v>
      </c>
      <c r="I140" s="166"/>
      <c r="J140" s="166"/>
      <c r="K140" s="167"/>
      <c r="L140" s="156">
        <f t="shared" ref="L140:N140" ca="1" si="64">L141+L142</f>
        <v>204900</v>
      </c>
      <c r="M140" s="156">
        <f t="shared" ca="1" si="64"/>
        <v>204900</v>
      </c>
      <c r="N140" s="156">
        <f t="shared" ca="1" si="64"/>
        <v>201720</v>
      </c>
      <c r="O140" s="155">
        <f t="shared" ref="O140:O142" ca="1" si="65">IF(L140&gt;0,N140*100/L140,0)</f>
        <v>98.448023426061496</v>
      </c>
      <c r="P140" s="155">
        <f t="shared" ref="P140:P142" ca="1" si="66">IF(M140&gt;0,N140*100/M140,0)</f>
        <v>98.448023426061496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204900</v>
      </c>
      <c r="M142" s="161">
        <f t="shared" ca="1" si="68"/>
        <v>204900</v>
      </c>
      <c r="N142" s="161">
        <f t="shared" ca="1" si="68"/>
        <v>201720</v>
      </c>
      <c r="O142" s="160">
        <f t="shared" ca="1" si="65"/>
        <v>98.448023426061496</v>
      </c>
      <c r="P142" s="160">
        <f t="shared" ca="1" si="66"/>
        <v>98.448023426061496</v>
      </c>
    </row>
    <row r="143" spans="1:16" ht="21.75" customHeight="1" x14ac:dyDescent="0.3">
      <c r="A143" s="162"/>
      <c r="B143" s="163"/>
      <c r="C143" s="163" t="s">
        <v>16</v>
      </c>
      <c r="D143" s="574" t="s">
        <v>20</v>
      </c>
      <c r="E143" s="575"/>
      <c r="F143" s="575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204900</v>
      </c>
      <c r="M144" s="173">
        <f ca="1">IFERROR(__xludf.DUMMYFUNCTION("IMPORTRANGE(""https://docs.google.com/spreadsheets/d/1Yj_ptqi66GCucihVvJfMjLAmec39IyEx_6qawtMGysU/edit?usp=sharing"",""สบก!BJ92"")"),204900)</f>
        <v>204900</v>
      </c>
      <c r="N144" s="174">
        <f ca="1">IFERROR(__xludf.DUMMYFUNCTION("IMPORTRANGE(""https://docs.google.com/spreadsheets/d/1Yj_ptqi66GCucihVvJfMjLAmec39IyEx_6qawtMGysU/edit?usp=sharing"",""สบก!BK92"")"),201720)</f>
        <v>201720</v>
      </c>
      <c r="O144" s="175">
        <f ca="1">IF(L144&gt;0,N144*100/L144,0)</f>
        <v>98.448023426061496</v>
      </c>
      <c r="P144" s="175">
        <f ca="1">IF(M144&gt;0,N144*100/M144,0)</f>
        <v>98.448023426061496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IFERROR(__xludf.DUMMYFUNCTION("IMPORTRANGE(""https://docs.google.com/spreadsheets/d/1Yj_ptqi66GCucihVvJfMjLAmec39IyEx_6qawtMGysU/edit?usp=sharing"",""สบก!BF92"")"),0)</f>
        <v>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IFERROR(__xludf.DUMMYFUNCTION("IMPORTRANGE(""https://docs.google.com/spreadsheets/d/1Yj_ptqi66GCucihVvJfMjLAmec39IyEx_6qawtMGysU/edit?usp=sharing"",""สบก!BG92"")"),204900)</f>
        <v>204900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6" t="s">
        <v>23</v>
      </c>
      <c r="E147" s="575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IFERROR(__xludf.DUMMYFUNCTION("IMPORTRANGE(""https://docs.google.com/spreadsheets/d/1Yj_ptqi66GCucihVvJfMjLAmec39IyEx_6qawtMGysU/edit?usp=sharing"",""สบก!BH92"")"),0)</f>
        <v>0</v>
      </c>
      <c r="M148" s="101"/>
      <c r="N148" s="91">
        <f ca="1">IFERROR(__xludf.DUMMYFUNCTION("IMPORTRANGE(""https://docs.google.com/spreadsheets/d/1Yj_ptqi66GCucihVvJfMjLAmec39IyEx_6qawtMGysU/edit?usp=sharing"",""สบก!BL92"")"),0)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IFERROR(__xludf.DUMMYFUNCTION("IMPORTRANGE(""https://docs.google.com/spreadsheets/d/1IYY_tgx_IHuhSq3AJ5eI5OnqOPBNLWSHKh2a30DoXe8/edit?usp=sharing"",""สงขลา!I74"")"),4)</f>
        <v>4</v>
      </c>
      <c r="J149" s="281">
        <f ca="1">IFERROR(__xludf.DUMMYFUNCTION("IMPORTRANGE(""https://docs.google.com/spreadsheets/d/1IYY_tgx_IHuhSq3AJ5eI5OnqOPBNLWSHKh2a30DoXe8/edit?usp=sharing"",""สงขลา!J74"")"),4)</f>
        <v>4</v>
      </c>
      <c r="K149" s="282">
        <f ca="1">IF(I149&gt;0,J149*100/I149,0)</f>
        <v>100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IFERROR(__xludf.DUMMYFUNCTION("IMPORTRANGE(""https://docs.google.com/spreadsheets/d/1IYY_tgx_IHuhSq3AJ5eI5OnqOPBNLWSHKh2a30DoXe8/edit?usp=sharing"",""สงขลา!J79"")"),0)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IFERROR(__xludf.DUMMYFUNCTION("IMPORTRANGE(""https://docs.google.com/spreadsheets/d/1IYY_tgx_IHuhSq3AJ5eI5OnqOPBNLWSHKh2a30DoXe8/edit?usp=sharing"",""สงขลา!J80"")"),1)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IFERROR(__xludf.DUMMYFUNCTION("IMPORTRANGE(""https://docs.google.com/spreadsheets/d/1IYY_tgx_IHuhSq3AJ5eI5OnqOPBNLWSHKh2a30DoXe8/edit?usp=sharing"",""สงขลา!J81"")"),1)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IFERROR(__xludf.DUMMYFUNCTION("IMPORTRANGE(""https://docs.google.com/spreadsheets/d/1IYY_tgx_IHuhSq3AJ5eI5OnqOPBNLWSHKh2a30DoXe8/edit?usp=sharing"",""สงขลา!J82"")"),1)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IFERROR(__xludf.DUMMYFUNCTION("IMPORTRANGE(""https://docs.google.com/spreadsheets/d/1IYY_tgx_IHuhSq3AJ5eI5OnqOPBNLWSHKh2a30DoXe8/edit?usp=sharing"",""สงขลา!I83"")"),4)</f>
        <v>4</v>
      </c>
      <c r="J158" s="195">
        <f ca="1">IFERROR(__xludf.DUMMYFUNCTION("IMPORTRANGE(""https://docs.google.com/spreadsheets/d/1IYY_tgx_IHuhSq3AJ5eI5OnqOPBNLWSHKh2a30DoXe8/edit?usp=sharing"",""สงขลา!J83"")"),4)</f>
        <v>4</v>
      </c>
      <c r="K158" s="167">
        <f ca="1">IF(I158&gt;0,J158*100/I158,0)</f>
        <v>100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IFERROR(__xludf.DUMMYFUNCTION("IMPORTRANGE(""https://docs.google.com/spreadsheets/d/1IYY_tgx_IHuhSq3AJ5eI5OnqOPBNLWSHKh2a30DoXe8/edit?usp=sharing"",""สงขลา!J84"")"),95)</f>
        <v>95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IFERROR(__xludf.DUMMYFUNCTION("IMPORTRANGE(""https://docs.google.com/spreadsheets/d/1IYY_tgx_IHuhSq3AJ5eI5OnqOPBNLWSHKh2a30DoXe8/edit?usp=sharing"",""สงขลา!J85"")"),95)</f>
        <v>95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IFERROR(__xludf.DUMMYFUNCTION("IMPORTRANGE(""https://docs.google.com/spreadsheets/d/1IYY_tgx_IHuhSq3AJ5eI5OnqOPBNLWSHKh2a30DoXe8/edit?usp=sharing"",""สงขลา!J86"")"),0)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IFERROR(__xludf.DUMMYFUNCTION("IMPORTRANGE(""https://docs.google.com/spreadsheets/d/1IYY_tgx_IHuhSq3AJ5eI5OnqOPBNLWSHKh2a30DoXe8/edit?usp=sharing"",""สงขลา!J87"")"),0)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IFERROR(__xludf.DUMMYFUNCTION("IMPORTRANGE(""https://docs.google.com/spreadsheets/d/1IYY_tgx_IHuhSq3AJ5eI5OnqOPBNLWSHKh2a30DoXe8/edit?usp=sharing"",""สงขลา!J88"")"),0)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IFERROR(__xludf.DUMMYFUNCTION("IMPORTRANGE(""https://docs.google.com/spreadsheets/d/1IYY_tgx_IHuhSq3AJ5eI5OnqOPBNLWSHKh2a30DoXe8/edit?usp=sharing"",""สงขลา!I89"")"),6)</f>
        <v>6</v>
      </c>
      <c r="J164" s="290">
        <f ca="1">IFERROR(__xludf.DUMMYFUNCTION("IMPORTRANGE(""https://docs.google.com/spreadsheets/d/1IYY_tgx_IHuhSq3AJ5eI5OnqOPBNLWSHKh2a30DoXe8/edit?usp=sharing"",""สงขลา!J89"")"),6)</f>
        <v>6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IFERROR(__xludf.DUMMYFUNCTION("IMPORTRANGE(""https://docs.google.com/spreadsheets/d/1IYY_tgx_IHuhSq3AJ5eI5OnqOPBNLWSHKh2a30DoXe8/edit?usp=sharing"",""สงขลา!J94"")"),0)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IFERROR(__xludf.DUMMYFUNCTION("IMPORTRANGE(""https://docs.google.com/spreadsheets/d/1IYY_tgx_IHuhSq3AJ5eI5OnqOPBNLWSHKh2a30DoXe8/edit?usp=sharing"",""สงขลา!J95"")"),1)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IFERROR(__xludf.DUMMYFUNCTION("IMPORTRANGE(""https://docs.google.com/spreadsheets/d/1IYY_tgx_IHuhSq3AJ5eI5OnqOPBNLWSHKh2a30DoXe8/edit?usp=sharing"",""สงขลา!J96"")"),1)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IFERROR(__xludf.DUMMYFUNCTION("IMPORTRANGE(""https://docs.google.com/spreadsheets/d/1IYY_tgx_IHuhSq3AJ5eI5OnqOPBNLWSHKh2a30DoXe8/edit?usp=sharing"",""สงขลา!J97"")"),1)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IFERROR(__xludf.DUMMYFUNCTION("IMPORTRANGE(""https://docs.google.com/spreadsheets/d/1IYY_tgx_IHuhSq3AJ5eI5OnqOPBNLWSHKh2a30DoXe8/edit?usp=sharing"",""สงขลา!I98"")"),6)</f>
        <v>6</v>
      </c>
      <c r="J173" s="195">
        <f ca="1">IFERROR(__xludf.DUMMYFUNCTION("IMPORTRANGE(""https://docs.google.com/spreadsheets/d/1IYY_tgx_IHuhSq3AJ5eI5OnqOPBNLWSHKh2a30DoXe8/edit?usp=sharing"",""สงขลา!J98"")"),6)</f>
        <v>6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IFERROR(__xludf.DUMMYFUNCTION("IMPORTRANGE(""https://docs.google.com/spreadsheets/d/1IYY_tgx_IHuhSq3AJ5eI5OnqOPBNLWSHKh2a30DoXe8/edit?usp=sharing"",""สงขลา!J99"")"),0)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IFERROR(__xludf.DUMMYFUNCTION("IMPORTRANGE(""https://docs.google.com/spreadsheets/d/1IYY_tgx_IHuhSq3AJ5eI5OnqOPBNLWSHKh2a30DoXe8/edit?usp=sharing"",""สงขลา!J100"")"),0)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IFERROR(__xludf.DUMMYFUNCTION("IMPORTRANGE(""https://docs.google.com/spreadsheets/d/1IYY_tgx_IHuhSq3AJ5eI5OnqOPBNLWSHKh2a30DoXe8/edit?usp=sharing"",""สงขลา!I101"")"),7)</f>
        <v>7</v>
      </c>
      <c r="J176" s="290">
        <f ca="1">IFERROR(__xludf.DUMMYFUNCTION("IMPORTRANGE(""https://docs.google.com/spreadsheets/d/1IYY_tgx_IHuhSq3AJ5eI5OnqOPBNLWSHKh2a30DoXe8/edit?usp=sharing"",""สงขลา!J101"")"),7)</f>
        <v>7</v>
      </c>
      <c r="K176" s="291">
        <f ca="1">IF(I176&gt;0,J176*100/I176,0)</f>
        <v>100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IFERROR(__xludf.DUMMYFUNCTION("IMPORTRANGE(""https://docs.google.com/spreadsheets/d/1IYY_tgx_IHuhSq3AJ5eI5OnqOPBNLWSHKh2a30DoXe8/edit?usp=sharing"",""สงขลา!J106"")"),0)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IFERROR(__xludf.DUMMYFUNCTION("IMPORTRANGE(""https://docs.google.com/spreadsheets/d/1IYY_tgx_IHuhSq3AJ5eI5OnqOPBNLWSHKh2a30DoXe8/edit?usp=sharing"",""สงขลา!J107"")"),1)</f>
        <v>1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IFERROR(__xludf.DUMMYFUNCTION("IMPORTRANGE(""https://docs.google.com/spreadsheets/d/1IYY_tgx_IHuhSq3AJ5eI5OnqOPBNLWSHKh2a30DoXe8/edit?usp=sharing"",""สงขลา!J108"")"),1)</f>
        <v>1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IFERROR(__xludf.DUMMYFUNCTION("IMPORTRANGE(""https://docs.google.com/spreadsheets/d/1IYY_tgx_IHuhSq3AJ5eI5OnqOPBNLWSHKh2a30DoXe8/edit?usp=sharing"",""สงขลา!J109"")"),1)</f>
        <v>1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IFERROR(__xludf.DUMMYFUNCTION("IMPORTRANGE(""https://docs.google.com/spreadsheets/d/1IYY_tgx_IHuhSq3AJ5eI5OnqOPBNLWSHKh2a30DoXe8/edit?usp=sharing"",""สงขลา!I110"")"),7)</f>
        <v>7</v>
      </c>
      <c r="J185" s="210">
        <f ca="1">IFERROR(__xludf.DUMMYFUNCTION("IMPORTRANGE(""https://docs.google.com/spreadsheets/d/1IYY_tgx_IHuhSq3AJ5eI5OnqOPBNLWSHKh2a30DoXe8/edit?usp=sharing"",""สงขลา!J110"")"),7)</f>
        <v>7</v>
      </c>
      <c r="K185" s="230">
        <f t="shared" ref="K185:K186" ca="1" si="69">IF(I185&gt;0,J185*100/I185,0)</f>
        <v>100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IFERROR(__xludf.DUMMYFUNCTION("IMPORTRANGE(""https://docs.google.com/spreadsheets/d/1IYY_tgx_IHuhSq3AJ5eI5OnqOPBNLWSHKh2a30DoXe8/edit?usp=sharing"",""สงขลา!I111"")"),7)</f>
        <v>7</v>
      </c>
      <c r="J186" s="210">
        <f ca="1">IFERROR(__xludf.DUMMYFUNCTION("IMPORTRANGE(""https://docs.google.com/spreadsheets/d/1IYY_tgx_IHuhSq3AJ5eI5OnqOPBNLWSHKh2a30DoXe8/edit?usp=sharing"",""สงขลา!J111"")"),7)</f>
        <v>7</v>
      </c>
      <c r="K186" s="230">
        <f t="shared" ca="1" si="69"/>
        <v>100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IFERROR(__xludf.DUMMYFUNCTION("IMPORTRANGE(""https://docs.google.com/spreadsheets/d/1IYY_tgx_IHuhSq3AJ5eI5OnqOPBNLWSHKh2a30DoXe8/edit?usp=sharing"",""สงขลา!J112"")"),0)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IFERROR(__xludf.DUMMYFUNCTION("IMPORTRANGE(""https://docs.google.com/spreadsheets/d/1IYY_tgx_IHuhSq3AJ5eI5OnqOPBNLWSHKh2a30DoXe8/edit?usp=sharing"",""สงขลา!J113"")"),0)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IFERROR(__xludf.DUMMYFUNCTION("IMPORTRANGE(""https://docs.google.com/spreadsheets/d/1IYY_tgx_IHuhSq3AJ5eI5OnqOPBNLWSHKh2a30DoXe8/edit?usp=sharing"",""สงขลา!I114"")"),15000)</f>
        <v>15000</v>
      </c>
      <c r="J189" s="290">
        <f ca="1">IFERROR(__xludf.DUMMYFUNCTION("IMPORTRANGE(""https://docs.google.com/spreadsheets/d/1IYY_tgx_IHuhSq3AJ5eI5OnqOPBNLWSHKh2a30DoXe8/edit?usp=sharing"",""สงขลา!J114"")"),15000)</f>
        <v>15000</v>
      </c>
      <c r="K189" s="291">
        <f ca="1">IF(I189&gt;0,J189*100/I189,0)</f>
        <v>100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IFERROR(__xludf.DUMMYFUNCTION("IMPORTRANGE(""https://docs.google.com/spreadsheets/d/1IYY_tgx_IHuhSq3AJ5eI5OnqOPBNLWSHKh2a30DoXe8/edit?usp=sharing"",""สงขลา!J119"")"),0)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IFERROR(__xludf.DUMMYFUNCTION("IMPORTRANGE(""https://docs.google.com/spreadsheets/d/1IYY_tgx_IHuhSq3AJ5eI5OnqOPBNLWSHKh2a30DoXe8/edit?usp=sharing"",""สงขลา!J120"")"),1)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IFERROR(__xludf.DUMMYFUNCTION("IMPORTRANGE(""https://docs.google.com/spreadsheets/d/1IYY_tgx_IHuhSq3AJ5eI5OnqOPBNLWSHKh2a30DoXe8/edit?usp=sharing"",""สงขลา!J121"")"),1)</f>
        <v>1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IFERROR(__xludf.DUMMYFUNCTION("IMPORTRANGE(""https://docs.google.com/spreadsheets/d/1IYY_tgx_IHuhSq3AJ5eI5OnqOPBNLWSHKh2a30DoXe8/edit?usp=sharing"",""สงขลา!J122"")"),1)</f>
        <v>1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IFERROR(__xludf.DUMMYFUNCTION("IMPORTRANGE(""https://docs.google.com/spreadsheets/d/1IYY_tgx_IHuhSq3AJ5eI5OnqOPBNLWSHKh2a30DoXe8/edit?usp=sharing"",""สงขลา!I124"")"),15000)</f>
        <v>15000</v>
      </c>
      <c r="J199" s="195">
        <f ca="1">IFERROR(__xludf.DUMMYFUNCTION("IMPORTRANGE(""https://docs.google.com/spreadsheets/d/1IYY_tgx_IHuhSq3AJ5eI5OnqOPBNLWSHKh2a30DoXe8/edit?usp=sharing"",""สงขลา!J124"")"),15000)</f>
        <v>15000</v>
      </c>
      <c r="K199" s="167">
        <f t="shared" ref="K199:K201" ca="1" si="70">IF(I199&gt;0,J199*100/I199,0)</f>
        <v>100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IFERROR(__xludf.DUMMYFUNCTION("IMPORTRANGE(""https://docs.google.com/spreadsheets/d/1IYY_tgx_IHuhSq3AJ5eI5OnqOPBNLWSHKh2a30DoXe8/edit?usp=sharing"",""สงขลา!I125"")"),15000)</f>
        <v>15000</v>
      </c>
      <c r="J200" s="195">
        <f ca="1">IFERROR(__xludf.DUMMYFUNCTION("IMPORTRANGE(""https://docs.google.com/spreadsheets/d/1IYY_tgx_IHuhSq3AJ5eI5OnqOPBNLWSHKh2a30DoXe8/edit?usp=sharing"",""สงขลา!J125"")"),15000)</f>
        <v>15000</v>
      </c>
      <c r="K200" s="167">
        <f t="shared" ca="1" si="70"/>
        <v>100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IFERROR(__xludf.DUMMYFUNCTION("IMPORTRANGE(""https://docs.google.com/spreadsheets/d/1IYY_tgx_IHuhSq3AJ5eI5OnqOPBNLWSHKh2a30DoXe8/edit?usp=sharing"",""สงขลา!I126"")"),0)</f>
        <v>0</v>
      </c>
      <c r="J201" s="195">
        <f ca="1">IFERROR(__xludf.DUMMYFUNCTION("IMPORTRANGE(""https://docs.google.com/spreadsheets/d/1IYY_tgx_IHuhSq3AJ5eI5OnqOPBNLWSHKh2a30DoXe8/edit?usp=sharing"",""สงขลา!J126"")"),0)</f>
        <v>0</v>
      </c>
      <c r="K201" s="167">
        <f t="shared" ca="1" si="70"/>
        <v>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IFERROR(__xludf.DUMMYFUNCTION("IMPORTRANGE(""https://docs.google.com/spreadsheets/d/1IYY_tgx_IHuhSq3AJ5eI5OnqOPBNLWSHKh2a30DoXe8/edit?usp=sharing"",""สงขลา!J127"")"),0)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IFERROR(__xludf.DUMMYFUNCTION("IMPORTRANGE(""https://docs.google.com/spreadsheets/d/1IYY_tgx_IHuhSq3AJ5eI5OnqOPBNLWSHKh2a30DoXe8/edit?usp=sharing"",""สงขลา!J128"")"),0)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IFERROR(__xludf.DUMMYFUNCTION("IMPORTRANGE(""https://docs.google.com/spreadsheets/d/1IYY_tgx_IHuhSq3AJ5eI5OnqOPBNLWSHKh2a30DoXe8/edit?usp=sharing"",""สงขลา!I129"")"),0)</f>
        <v>0</v>
      </c>
      <c r="J204" s="290">
        <f ca="1">IFERROR(__xludf.DUMMYFUNCTION("IMPORTRANGE(""https://docs.google.com/spreadsheets/d/1IYY_tgx_IHuhSq3AJ5eI5OnqOPBNLWSHKh2a30DoXe8/edit?usp=sharing"",""สงขลา!J129"")"),0)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IFERROR(__xludf.DUMMYFUNCTION("IMPORTRANGE(""https://docs.google.com/spreadsheets/d/1IYY_tgx_IHuhSq3AJ5eI5OnqOPBNLWSHKh2a30DoXe8/edit?usp=sharing"",""สงขลา!J134"")"),0)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IFERROR(__xludf.DUMMYFUNCTION("IMPORTRANGE(""https://docs.google.com/spreadsheets/d/1IYY_tgx_IHuhSq3AJ5eI5OnqOPBNLWSHKh2a30DoXe8/edit?usp=sharing"",""สงขลา!J135"")"),0)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IFERROR(__xludf.DUMMYFUNCTION("IMPORTRANGE(""https://docs.google.com/spreadsheets/d/1IYY_tgx_IHuhSq3AJ5eI5OnqOPBNLWSHKh2a30DoXe8/edit?usp=sharing"",""สงขลา!J136"")"),0)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IFERROR(__xludf.DUMMYFUNCTION("IMPORTRANGE(""https://docs.google.com/spreadsheets/d/1IYY_tgx_IHuhSq3AJ5eI5OnqOPBNLWSHKh2a30DoXe8/edit?usp=sharing"",""สงขลา!J137"")"),0)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IFERROR(__xludf.DUMMYFUNCTION("IMPORTRANGE(""https://docs.google.com/spreadsheets/d/1IYY_tgx_IHuhSq3AJ5eI5OnqOPBNLWSHKh2a30DoXe8/edit?usp=sharing"",""สงขลา!I138"")"),0)</f>
        <v>0</v>
      </c>
      <c r="J213" s="210">
        <f ca="1">IFERROR(__xludf.DUMMYFUNCTION("IMPORTRANGE(""https://docs.google.com/spreadsheets/d/1IYY_tgx_IHuhSq3AJ5eI5OnqOPBNLWSHKh2a30DoXe8/edit?usp=sharing"",""สงขลา!J138"")"),0)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IFERROR(__xludf.DUMMYFUNCTION("IMPORTRANGE(""https://docs.google.com/spreadsheets/d/1IYY_tgx_IHuhSq3AJ5eI5OnqOPBNLWSHKh2a30DoXe8/edit?usp=sharing"",""สงขลา!I140"")"),0)</f>
        <v>0</v>
      </c>
      <c r="J215" s="210">
        <f ca="1">IFERROR(__xludf.DUMMYFUNCTION("IMPORTRANGE(""https://docs.google.com/spreadsheets/d/1IYY_tgx_IHuhSq3AJ5eI5OnqOPBNLWSHKh2a30DoXe8/edit?usp=sharing"",""สงขลา!J140"")"),0)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IFERROR(__xludf.DUMMYFUNCTION("IMPORTRANGE(""https://docs.google.com/spreadsheets/d/1IYY_tgx_IHuhSq3AJ5eI5OnqOPBNLWSHKh2a30DoXe8/edit?usp=sharing"",""สงขลา!I141"")"),0)</f>
        <v>0</v>
      </c>
      <c r="J216" s="210">
        <f ca="1">IFERROR(__xludf.DUMMYFUNCTION("IMPORTRANGE(""https://docs.google.com/spreadsheets/d/1IYY_tgx_IHuhSq3AJ5eI5OnqOPBNLWSHKh2a30DoXe8/edit?usp=sharing"",""สงขลา!J141"")"),0)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IFERROR(__xludf.DUMMYFUNCTION("IMPORTRANGE(""https://docs.google.com/spreadsheets/d/1IYY_tgx_IHuhSq3AJ5eI5OnqOPBNLWSHKh2a30DoXe8/edit?usp=sharing"",""สงขลา!J142"")"),0)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IFERROR(__xludf.DUMMYFUNCTION("IMPORTRANGE(""https://docs.google.com/spreadsheets/d/1IYY_tgx_IHuhSq3AJ5eI5OnqOPBNLWSHKh2a30DoXe8/edit?usp=sharing"",""สงขลา!J143"")"),0)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IFERROR(__xludf.DUMMYFUNCTION("IMPORTRANGE(""https://docs.google.com/spreadsheets/d/1IYY_tgx_IHuhSq3AJ5eI5OnqOPBNLWSHKh2a30DoXe8/edit?usp=sharing"",""สงขลา!I144"")"),15)</f>
        <v>15</v>
      </c>
      <c r="J219" s="273">
        <f ca="1">IFERROR(__xludf.DUMMYFUNCTION("IMPORTRANGE(""https://docs.google.com/spreadsheets/d/1IYY_tgx_IHuhSq3AJ5eI5OnqOPBNLWSHKh2a30DoXe8/edit?usp=sharing"",""สงขลา!J144"")"),15)</f>
        <v>15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2" t="s">
        <v>17</v>
      </c>
      <c r="E220" s="573"/>
      <c r="F220" s="573"/>
      <c r="G220" s="573"/>
      <c r="H220" s="153" t="s">
        <v>12</v>
      </c>
      <c r="I220" s="166"/>
      <c r="J220" s="166"/>
      <c r="K220" s="167"/>
      <c r="L220" s="156">
        <f t="shared" ref="L220:N220" ca="1" si="72">L221+L222</f>
        <v>21125</v>
      </c>
      <c r="M220" s="156">
        <f t="shared" ca="1" si="72"/>
        <v>61125</v>
      </c>
      <c r="N220" s="156">
        <f t="shared" ca="1" si="72"/>
        <v>54295</v>
      </c>
      <c r="O220" s="155">
        <f t="shared" ref="O220:O222" ca="1" si="73">IF(L220&gt;0,N220*100/L220,0)</f>
        <v>257.01775147928993</v>
      </c>
      <c r="P220" s="155">
        <f t="shared" ref="P220:P222" ca="1" si="74">IF(M220&gt;0,N220*100/M220,0)</f>
        <v>88.826175869120661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21125</v>
      </c>
      <c r="M222" s="161">
        <f t="shared" ca="1" si="76"/>
        <v>61125</v>
      </c>
      <c r="N222" s="161">
        <f t="shared" ca="1" si="76"/>
        <v>54295</v>
      </c>
      <c r="O222" s="160">
        <f t="shared" ca="1" si="73"/>
        <v>257.01775147928993</v>
      </c>
      <c r="P222" s="160">
        <f t="shared" ca="1" si="74"/>
        <v>88.826175869120661</v>
      </c>
    </row>
    <row r="223" spans="1:16" ht="21.75" customHeight="1" x14ac:dyDescent="0.3">
      <c r="A223" s="162"/>
      <c r="B223" s="163"/>
      <c r="C223" s="163" t="s">
        <v>16</v>
      </c>
      <c r="D223" s="574" t="s">
        <v>20</v>
      </c>
      <c r="E223" s="575"/>
      <c r="F223" s="575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21125</v>
      </c>
      <c r="M224" s="173">
        <f ca="1">IFERROR(__xludf.DUMMYFUNCTION("IMPORTRANGE(""https://docs.google.com/spreadsheets/d/1Yj_ptqi66GCucihVvJfMjLAmec39IyEx_6qawtMGysU/edit?usp=sharing"",""สบก!BS92"")"),61125)</f>
        <v>61125</v>
      </c>
      <c r="N224" s="174">
        <f ca="1">IFERROR(__xludf.DUMMYFUNCTION("IMPORTRANGE(""https://docs.google.com/spreadsheets/d/1Yj_ptqi66GCucihVvJfMjLAmec39IyEx_6qawtMGysU/edit?usp=sharing"",""สบก!BT92"")"),54295)</f>
        <v>54295</v>
      </c>
      <c r="O224" s="175">
        <f ca="1">IF(L224&gt;0,N224*100/L224,0)</f>
        <v>257.01775147928993</v>
      </c>
      <c r="P224" s="175">
        <f ca="1">IF(M224&gt;0,N224*100/M224,0)</f>
        <v>88.826175869120661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IFERROR(__xludf.DUMMYFUNCTION("IMPORTRANGE(""https://docs.google.com/spreadsheets/d/1Yj_ptqi66GCucihVvJfMjLAmec39IyEx_6qawtMGysU/edit?usp=sharing"",""สบก!BO92"")"),0)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IFERROR(__xludf.DUMMYFUNCTION("IMPORTRANGE(""https://docs.google.com/spreadsheets/d/1Yj_ptqi66GCucihVvJfMjLAmec39IyEx_6qawtMGysU/edit?usp=sharing"",""สบก!BP92"")"),21125)</f>
        <v>21125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6" t="s">
        <v>23</v>
      </c>
      <c r="E227" s="575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IFERROR(__xludf.DUMMYFUNCTION("IMPORTRANGE(""https://docs.google.com/spreadsheets/d/1Yj_ptqi66GCucihVvJfMjLAmec39IyEx_6qawtMGysU/edit?usp=sharing"",""สบก!BQ92"")"),0)</f>
        <v>0</v>
      </c>
      <c r="M228" s="101"/>
      <c r="N228" s="91">
        <f ca="1">IFERROR(__xludf.DUMMYFUNCTION("IMPORTRANGE(""https://docs.google.com/spreadsheets/d/1Yj_ptqi66GCucihVvJfMjLAmec39IyEx_6qawtMGysU/edit?usp=sharing"",""สบก!BU92"")"),0)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IFERROR(__xludf.DUMMYFUNCTION("IMPORTRANGE(""https://docs.google.com/spreadsheets/d/1IYY_tgx_IHuhSq3AJ5eI5OnqOPBNLWSHKh2a30DoXe8/edit?usp=sharing"",""สงขลา!I149"")"),15)</f>
        <v>15</v>
      </c>
      <c r="J229" s="273">
        <f ca="1">IFERROR(__xludf.DUMMYFUNCTION("IMPORTRANGE(""https://docs.google.com/spreadsheets/d/1IYY_tgx_IHuhSq3AJ5eI5OnqOPBNLWSHKh2a30DoXe8/edit?usp=sharing"",""สงขลา!J149"")"),15)</f>
        <v>15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IFERROR(__xludf.DUMMYFUNCTION("IMPORTRANGE(""https://docs.google.com/spreadsheets/d/1IYY_tgx_IHuhSq3AJ5eI5OnqOPBNLWSHKh2a30DoXe8/edit?usp=sharing"",""สงขลา!J151"")"),0)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IFERROR(__xludf.DUMMYFUNCTION("IMPORTRANGE(""https://docs.google.com/spreadsheets/d/1IYY_tgx_IHuhSq3AJ5eI5OnqOPBNLWSHKh2a30DoXe8/edit?usp=sharing"",""สงขลา!J152"")"),1)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IFERROR(__xludf.DUMMYFUNCTION("IMPORTRANGE(""https://docs.google.com/spreadsheets/d/1IYY_tgx_IHuhSq3AJ5eI5OnqOPBNLWSHKh2a30DoXe8/edit?usp=sharing"",""สงขลา!J153"")"),1)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IFERROR(__xludf.DUMMYFUNCTION("IMPORTRANGE(""https://docs.google.com/spreadsheets/d/1IYY_tgx_IHuhSq3AJ5eI5OnqOPBNLWSHKh2a30DoXe8/edit?usp=sharing"",""สงขลา!J154"")"),1)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IFERROR(__xludf.DUMMYFUNCTION("IMPORTRANGE(""https://docs.google.com/spreadsheets/d/1IYY_tgx_IHuhSq3AJ5eI5OnqOPBNLWSHKh2a30DoXe8/edit?usp=sharing"",""สงขลา!I155"")"),15)</f>
        <v>15</v>
      </c>
      <c r="J235" s="195">
        <f ca="1">IFERROR(__xludf.DUMMYFUNCTION("IMPORTRANGE(""https://docs.google.com/spreadsheets/d/1IYY_tgx_IHuhSq3AJ5eI5OnqOPBNLWSHKh2a30DoXe8/edit?usp=sharing"",""สงขลา!J155"")"),15)</f>
        <v>15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IFERROR(__xludf.DUMMYFUNCTION("IMPORTRANGE(""https://docs.google.com/spreadsheets/d/1IYY_tgx_IHuhSq3AJ5eI5OnqOPBNLWSHKh2a30DoXe8/edit?usp=sharing"",""สงขลา!J156"")"),0)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IFERROR(__xludf.DUMMYFUNCTION("IMPORTRANGE(""https://docs.google.com/spreadsheets/d/1IYY_tgx_IHuhSq3AJ5eI5OnqOPBNLWSHKh2a30DoXe8/edit?usp=sharing"",""สงขลา!J157"")"),0)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IFERROR(__xludf.DUMMYFUNCTION("IMPORTRANGE(""https://docs.google.com/spreadsheets/d/1IYY_tgx_IHuhSq3AJ5eI5OnqOPBNLWSHKh2a30DoXe8/edit?usp=sharing"",""สงขลา!I158"")"),0)</f>
        <v>0</v>
      </c>
      <c r="J238" s="273">
        <f ca="1">IFERROR(__xludf.DUMMYFUNCTION("IMPORTRANGE(""https://docs.google.com/spreadsheets/d/1IYY_tgx_IHuhSq3AJ5eI5OnqOPBNLWSHKh2a30DoXe8/edit?usp=sharing"",""สงขลา!J158"")"),0)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IFERROR(__xludf.DUMMYFUNCTION("IMPORTRANGE(""https://docs.google.com/spreadsheets/d/1IYY_tgx_IHuhSq3AJ5eI5OnqOPBNLWSHKh2a30DoXe8/edit?usp=sharing"",""สงขลา!J159"")"),"")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IFERROR(__xludf.DUMMYFUNCTION("IMPORTRANGE(""https://docs.google.com/spreadsheets/d/1IYY_tgx_IHuhSq3AJ5eI5OnqOPBNLWSHKh2a30DoXe8/edit?usp=sharing"",""สงขลา!J161"")"),0)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IFERROR(__xludf.DUMMYFUNCTION("IMPORTRANGE(""https://docs.google.com/spreadsheets/d/1IYY_tgx_IHuhSq3AJ5eI5OnqOPBNLWSHKh2a30DoXe8/edit?usp=sharing"",""สงขลา!J162"")"),0)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IFERROR(__xludf.DUMMYFUNCTION("IMPORTRANGE(""https://docs.google.com/spreadsheets/d/1IYY_tgx_IHuhSq3AJ5eI5OnqOPBNLWSHKh2a30DoXe8/edit?usp=sharing"",""สงขลา!J163"")"),0)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IFERROR(__xludf.DUMMYFUNCTION("IMPORTRANGE(""https://docs.google.com/spreadsheets/d/1IYY_tgx_IHuhSq3AJ5eI5OnqOPBNLWSHKh2a30DoXe8/edit?usp=sharing"",""สงขลา!I164"")"),0)</f>
        <v>0</v>
      </c>
      <c r="J244" s="194">
        <f ca="1">IFERROR(__xludf.DUMMYFUNCTION("IMPORTRANGE(""https://docs.google.com/spreadsheets/d/1IYY_tgx_IHuhSq3AJ5eI5OnqOPBNLWSHKh2a30DoXe8/edit?usp=sharing"",""สงขลา!J164"")"),0)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IFERROR(__xludf.DUMMYFUNCTION("IMPORTRANGE(""https://docs.google.com/spreadsheets/d/1IYY_tgx_IHuhSq3AJ5eI5OnqOPBNLWSHKh2a30DoXe8/edit?usp=sharing"",""สงขลา!J165"")"),0)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IFERROR(__xludf.DUMMYFUNCTION("IMPORTRANGE(""https://docs.google.com/spreadsheets/d/1IYY_tgx_IHuhSq3AJ5eI5OnqOPBNLWSHKh2a30DoXe8/edit?usp=sharing"",""สงขลา!J166"")"),0)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IFERROR(__xludf.DUMMYFUNCTION("IMPORTRANGE(""https://docs.google.com/spreadsheets/d/1IYY_tgx_IHuhSq3AJ5eI5OnqOPBNLWSHKh2a30DoXe8/edit?usp=sharing"",""สงขลา!I169"")"),0)</f>
        <v>0</v>
      </c>
      <c r="J249" s="322">
        <f ca="1">IFERROR(__xludf.DUMMYFUNCTION("IMPORTRANGE(""https://docs.google.com/spreadsheets/d/1IYY_tgx_IHuhSq3AJ5eI5OnqOPBNLWSHKh2a30DoXe8/edit?usp=sharing"",""สงขลา!J169"")"),0)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2" t="s">
        <v>17</v>
      </c>
      <c r="E250" s="573"/>
      <c r="F250" s="573"/>
      <c r="G250" s="573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3">
      <c r="A253" s="162"/>
      <c r="B253" s="163"/>
      <c r="C253" s="163" t="s">
        <v>16</v>
      </c>
      <c r="D253" s="574" t="s">
        <v>20</v>
      </c>
      <c r="E253" s="575"/>
      <c r="F253" s="575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IFERROR(__xludf.DUMMYFUNCTION("IMPORTRANGE(""https://docs.google.com/spreadsheets/d/1Yj_ptqi66GCucihVvJfMjLAmec39IyEx_6qawtMGysU/edit?usp=sharing"",""สบก!CB92"")"),0)</f>
        <v>0</v>
      </c>
      <c r="N254" s="174">
        <f ca="1">IFERROR(__xludf.DUMMYFUNCTION("IMPORTRANGE(""https://docs.google.com/spreadsheets/d/1Yj_ptqi66GCucihVvJfMjLAmec39IyEx_6qawtMGysU/edit?usp=sharing"",""สบก!CC92"")"),0)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IFERROR(__xludf.DUMMYFUNCTION("IMPORTRANGE(""https://docs.google.com/spreadsheets/d/1Yj_ptqi66GCucihVvJfMjLAmec39IyEx_6qawtMGysU/edit?usp=sharing"",""สบก!BX92"")"),0)</f>
        <v>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IFERROR(__xludf.DUMMYFUNCTION("IMPORTRANGE(""https://docs.google.com/spreadsheets/d/1Yj_ptqi66GCucihVvJfMjLAmec39IyEx_6qawtMGysU/edit?usp=sharing"",""สบก!BY92"")"),0)</f>
        <v>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6" t="s">
        <v>23</v>
      </c>
      <c r="E257" s="575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IFERROR(__xludf.DUMMYFUNCTION("IMPORTRANGE(""https://docs.google.com/spreadsheets/d/1Yj_ptqi66GCucihVvJfMjLAmec39IyEx_6qawtMGysU/edit?usp=sharing"",""สบก!BZ92"")"),0)</f>
        <v>0</v>
      </c>
      <c r="M258" s="101"/>
      <c r="N258" s="91">
        <f ca="1">IFERROR(__xludf.DUMMYFUNCTION("IMPORTRANGE(""https://docs.google.com/spreadsheets/d/1Yj_ptqi66GCucihVvJfMjLAmec39IyEx_6qawtMGysU/edit?usp=sharing"",""สบก!CD92"")"),0)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IFERROR(__xludf.DUMMYFUNCTION("IMPORTRANGE(""https://docs.google.com/spreadsheets/d/1IYY_tgx_IHuhSq3AJ5eI5OnqOPBNLWSHKh2a30DoXe8/edit?usp=sharing"",""สงขลา!J175"")"),0)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IFERROR(__xludf.DUMMYFUNCTION("IMPORTRANGE(""https://docs.google.com/spreadsheets/d/1IYY_tgx_IHuhSq3AJ5eI5OnqOPBNLWSHKh2a30DoXe8/edit?usp=sharing"",""สงขลา!J176"")"),0)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IFERROR(__xludf.DUMMYFUNCTION("IMPORTRANGE(""https://docs.google.com/spreadsheets/d/1IYY_tgx_IHuhSq3AJ5eI5OnqOPBNLWSHKh2a30DoXe8/edit?usp=sharing"",""สงขลา!J177"")"),0)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IFERROR(__xludf.DUMMYFUNCTION("IMPORTRANGE(""https://docs.google.com/spreadsheets/d/1IYY_tgx_IHuhSq3AJ5eI5OnqOPBNLWSHKh2a30DoXe8/edit?usp=sharing"",""สงขลา!J178"")"),0)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IFERROR(__xludf.DUMMYFUNCTION("IMPORTRANGE(""https://docs.google.com/spreadsheets/d/1IYY_tgx_IHuhSq3AJ5eI5OnqOPBNLWSHKh2a30DoXe8/edit?usp=sharing"",""สงขลา!I179"")"),0)</f>
        <v>0</v>
      </c>
      <c r="J264" s="195">
        <f ca="1">IFERROR(__xludf.DUMMYFUNCTION("IMPORTRANGE(""https://docs.google.com/spreadsheets/d/1IYY_tgx_IHuhSq3AJ5eI5OnqOPBNLWSHKh2a30DoXe8/edit?usp=sharing"",""สงขลา!J179"")"),0)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IFERROR(__xludf.DUMMYFUNCTION("IMPORTRANGE(""https://docs.google.com/spreadsheets/d/1IYY_tgx_IHuhSq3AJ5eI5OnqOPBNLWSHKh2a30DoXe8/edit?usp=sharing"",""สงขลา!I180"")"),0)</f>
        <v>0</v>
      </c>
      <c r="J265" s="195">
        <f ca="1">IFERROR(__xludf.DUMMYFUNCTION("IMPORTRANGE(""https://docs.google.com/spreadsheets/d/1IYY_tgx_IHuhSq3AJ5eI5OnqOPBNLWSHKh2a30DoXe8/edit?usp=sharing"",""สงขลา!J180"")"),0)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IFERROR(__xludf.DUMMYFUNCTION("IMPORTRANGE(""https://docs.google.com/spreadsheets/d/1IYY_tgx_IHuhSq3AJ5eI5OnqOPBNLWSHKh2a30DoXe8/edit?usp=sharing"",""สงขลา!I181"")"),0)</f>
        <v>0</v>
      </c>
      <c r="J266" s="195">
        <f ca="1">IFERROR(__xludf.DUMMYFUNCTION("IMPORTRANGE(""https://docs.google.com/spreadsheets/d/1IYY_tgx_IHuhSq3AJ5eI5OnqOPBNLWSHKh2a30DoXe8/edit?usp=sharing"",""สงขลา!J181"")"),0)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IFERROR(__xludf.DUMMYFUNCTION("IMPORTRANGE(""https://docs.google.com/spreadsheets/d/1IYY_tgx_IHuhSq3AJ5eI5OnqOPBNLWSHKh2a30DoXe8/edit?usp=sharing"",""สงขลา!I182"")"),0)</f>
        <v>0</v>
      </c>
      <c r="J267" s="195">
        <f ca="1">IFERROR(__xludf.DUMMYFUNCTION("IMPORTRANGE(""https://docs.google.com/spreadsheets/d/1IYY_tgx_IHuhSq3AJ5eI5OnqOPBNLWSHKh2a30DoXe8/edit?usp=sharing"",""สงขลา!J182"")"),0)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IFERROR(__xludf.DUMMYFUNCTION("IMPORTRANGE(""https://docs.google.com/spreadsheets/d/1IYY_tgx_IHuhSq3AJ5eI5OnqOPBNLWSHKh2a30DoXe8/edit?usp=sharing"",""สงขลา!J183"")"),0)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IFERROR(__xludf.DUMMYFUNCTION("IMPORTRANGE(""https://docs.google.com/spreadsheets/d/1IYY_tgx_IHuhSq3AJ5eI5OnqOPBNLWSHKh2a30DoXe8/edit?usp=sharing"",""สงขลา!J184"")"),0)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IFERROR(__xludf.DUMMYFUNCTION("IMPORTRANGE(""https://docs.google.com/spreadsheets/d/1IYY_tgx_IHuhSq3AJ5eI5OnqOPBNLWSHKh2a30DoXe8/edit?usp=sharing"",""สงขลา!I185"")"),15)</f>
        <v>15</v>
      </c>
      <c r="J270" s="322">
        <f ca="1">IFERROR(__xludf.DUMMYFUNCTION("IMPORTRANGE(""https://docs.google.com/spreadsheets/d/1IYY_tgx_IHuhSq3AJ5eI5OnqOPBNLWSHKh2a30DoXe8/edit?usp=sharing"",""สงขลา!J185"")"),15)</f>
        <v>15</v>
      </c>
      <c r="K270" s="323">
        <f ca="1">IF(I270&gt;0,J270*100/I270,0)</f>
        <v>100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2" t="s">
        <v>17</v>
      </c>
      <c r="E271" s="573"/>
      <c r="F271" s="573"/>
      <c r="G271" s="573"/>
      <c r="H271" s="153" t="s">
        <v>12</v>
      </c>
      <c r="I271" s="166"/>
      <c r="J271" s="166"/>
      <c r="K271" s="167"/>
      <c r="L271" s="156">
        <f t="shared" ref="L271:N271" ca="1" si="83">L272+L273</f>
        <v>187200</v>
      </c>
      <c r="M271" s="156">
        <f t="shared" ca="1" si="83"/>
        <v>187200</v>
      </c>
      <c r="N271" s="156">
        <f t="shared" ca="1" si="83"/>
        <v>171506</v>
      </c>
      <c r="O271" s="155">
        <f t="shared" ref="O271:O273" ca="1" si="84">IF(L271&gt;0,N271*100/L271,0)</f>
        <v>91.616452991452988</v>
      </c>
      <c r="P271" s="155">
        <f t="shared" ref="P271:P273" ca="1" si="85">IF(M271&gt;0,N271*100/M271,0)</f>
        <v>91.616452991452988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187200</v>
      </c>
      <c r="M273" s="161">
        <f t="shared" ca="1" si="87"/>
        <v>187200</v>
      </c>
      <c r="N273" s="161">
        <f t="shared" ca="1" si="87"/>
        <v>171506</v>
      </c>
      <c r="O273" s="160">
        <f t="shared" ca="1" si="84"/>
        <v>91.616452991452988</v>
      </c>
      <c r="P273" s="160">
        <f t="shared" ca="1" si="85"/>
        <v>91.616452991452988</v>
      </c>
    </row>
    <row r="274" spans="1:16" ht="21.75" customHeight="1" x14ac:dyDescent="0.3">
      <c r="A274" s="162"/>
      <c r="B274" s="163"/>
      <c r="C274" s="163" t="s">
        <v>16</v>
      </c>
      <c r="D274" s="574" t="s">
        <v>20</v>
      </c>
      <c r="E274" s="575"/>
      <c r="F274" s="575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187200</v>
      </c>
      <c r="M275" s="173">
        <f ca="1">IFERROR(__xludf.DUMMYFUNCTION("IMPORTRANGE(""https://docs.google.com/spreadsheets/d/1Yj_ptqi66GCucihVvJfMjLAmec39IyEx_6qawtMGysU/edit?usp=sharing"",""สบก!CK92"")"),187200)</f>
        <v>187200</v>
      </c>
      <c r="N275" s="174">
        <f ca="1">IFERROR(__xludf.DUMMYFUNCTION("IMPORTRANGE(""https://docs.google.com/spreadsheets/d/1Yj_ptqi66GCucihVvJfMjLAmec39IyEx_6qawtMGysU/edit?usp=sharing"",""สบก!CL92"")"),171506)</f>
        <v>171506</v>
      </c>
      <c r="O275" s="175">
        <f ca="1">IF(L275&gt;0,N275*100/L275,0)</f>
        <v>91.616452991452988</v>
      </c>
      <c r="P275" s="175">
        <f ca="1">IF(M275&gt;0,N275*100/M275,0)</f>
        <v>91.616452991452988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IFERROR(__xludf.DUMMYFUNCTION("IMPORTRANGE(""https://docs.google.com/spreadsheets/d/1Yj_ptqi66GCucihVvJfMjLAmec39IyEx_6qawtMGysU/edit?usp=sharing"",""สบก!CG92"")"),132000)</f>
        <v>132000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IFERROR(__xludf.DUMMYFUNCTION("IMPORTRANGE(""https://docs.google.com/spreadsheets/d/1Yj_ptqi66GCucihVvJfMjLAmec39IyEx_6qawtMGysU/edit?usp=sharing"",""สบก!CH92"")"),55200)</f>
        <v>55200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6" t="s">
        <v>23</v>
      </c>
      <c r="E278" s="575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IFERROR(__xludf.DUMMYFUNCTION("IMPORTRANGE(""https://docs.google.com/spreadsheets/d/1Yj_ptqi66GCucihVvJfMjLAmec39IyEx_6qawtMGysU/edit?usp=sharing"",""สบก!CI92"")"),0)</f>
        <v>0</v>
      </c>
      <c r="M279" s="101"/>
      <c r="N279" s="91">
        <f ca="1">IFERROR(__xludf.DUMMYFUNCTION("IMPORTRANGE(""https://docs.google.com/spreadsheets/d/1Yj_ptqi66GCucihVvJfMjLAmec39IyEx_6qawtMGysU/edit?usp=sharing"",""สบก!CM92"")"),0)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IFERROR(__xludf.DUMMYFUNCTION("IMPORTRANGE(""https://docs.google.com/spreadsheets/d/1IYY_tgx_IHuhSq3AJ5eI5OnqOPBNLWSHKh2a30DoXe8/edit?usp=sharing"",""สงขลา!J191"")"),0)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IFERROR(__xludf.DUMMYFUNCTION("IMPORTRANGE(""https://docs.google.com/spreadsheets/d/1IYY_tgx_IHuhSq3AJ5eI5OnqOPBNLWSHKh2a30DoXe8/edit?usp=sharing"",""สงขลา!J192"")"),1)</f>
        <v>1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IFERROR(__xludf.DUMMYFUNCTION("IMPORTRANGE(""https://docs.google.com/spreadsheets/d/1IYY_tgx_IHuhSq3AJ5eI5OnqOPBNLWSHKh2a30DoXe8/edit?usp=sharing"",""สงขลา!J193"")"),1)</f>
        <v>1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IFERROR(__xludf.DUMMYFUNCTION("IMPORTRANGE(""https://docs.google.com/spreadsheets/d/1IYY_tgx_IHuhSq3AJ5eI5OnqOPBNLWSHKh2a30DoXe8/edit?usp=sharing"",""สงขลา!J194"")"),1)</f>
        <v>1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IFERROR(__xludf.DUMMYFUNCTION("IMPORTRANGE(""https://docs.google.com/spreadsheets/d/1IYY_tgx_IHuhSq3AJ5eI5OnqOPBNLWSHKh2a30DoXe8/edit?usp=sharing"",""สงขลา!I195"")"),15)</f>
        <v>15</v>
      </c>
      <c r="J285" s="195">
        <f ca="1">IFERROR(__xludf.DUMMYFUNCTION("IMPORTRANGE(""https://docs.google.com/spreadsheets/d/1IYY_tgx_IHuhSq3AJ5eI5OnqOPBNLWSHKh2a30DoXe8/edit?usp=sharing"",""สงขลา!J195"")"),15)</f>
        <v>15</v>
      </c>
      <c r="K285" s="167">
        <f ca="1">IF(I285&gt;0,J285*100/I285,0)</f>
        <v>100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IFERROR(__xludf.DUMMYFUNCTION("IMPORTRANGE(""https://docs.google.com/spreadsheets/d/1IYY_tgx_IHuhSq3AJ5eI5OnqOPBNLWSHKh2a30DoXe8/edit?usp=sharing"",""สงขลา!J196"")"),0)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IFERROR(__xludf.DUMMYFUNCTION("IMPORTRANGE(""https://docs.google.com/spreadsheets/d/1IYY_tgx_IHuhSq3AJ5eI5OnqOPBNLWSHKh2a30DoXe8/edit?usp=sharing"",""สงขลา!J197"")"),0)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IFERROR(__xludf.DUMMYFUNCTION("IMPORTRANGE(""https://docs.google.com/spreadsheets/d/1IYY_tgx_IHuhSq3AJ5eI5OnqOPBNLWSHKh2a30DoXe8/edit?usp=sharing"",""สงขลา!I199"")"),15)</f>
        <v>15</v>
      </c>
      <c r="J289" s="322">
        <f ca="1">IFERROR(__xludf.DUMMYFUNCTION("IMPORTRANGE(""https://docs.google.com/spreadsheets/d/1IYY_tgx_IHuhSq3AJ5eI5OnqOPBNLWSHKh2a30DoXe8/edit?usp=sharing"",""สงขลา!J199"")"),15)</f>
        <v>15</v>
      </c>
      <c r="K289" s="323">
        <f ca="1">IF(I289&gt;0,J289*100/I289,0)</f>
        <v>100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2" t="s">
        <v>17</v>
      </c>
      <c r="E290" s="573"/>
      <c r="F290" s="573"/>
      <c r="G290" s="573"/>
      <c r="H290" s="153" t="s">
        <v>12</v>
      </c>
      <c r="I290" s="194"/>
      <c r="J290" s="194"/>
      <c r="K290" s="230"/>
      <c r="L290" s="156">
        <f t="shared" ref="L290:N290" ca="1" si="88">L291+L292</f>
        <v>81820</v>
      </c>
      <c r="M290" s="156">
        <f t="shared" ca="1" si="88"/>
        <v>81820</v>
      </c>
      <c r="N290" s="156">
        <f t="shared" ca="1" si="88"/>
        <v>81820</v>
      </c>
      <c r="O290" s="155">
        <f t="shared" ref="O290:O292" ca="1" si="89">IF(L290&gt;0,N290*100/L290,0)</f>
        <v>100</v>
      </c>
      <c r="P290" s="155">
        <f t="shared" ref="P290:P292" ca="1" si="90">IF(M290&gt;0,N290*100/M290,0)</f>
        <v>100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81820</v>
      </c>
      <c r="M292" s="161">
        <f t="shared" ca="1" si="92"/>
        <v>81820</v>
      </c>
      <c r="N292" s="161">
        <f t="shared" ca="1" si="92"/>
        <v>81820</v>
      </c>
      <c r="O292" s="160">
        <f t="shared" ca="1" si="89"/>
        <v>100</v>
      </c>
      <c r="P292" s="160">
        <f t="shared" ca="1" si="90"/>
        <v>100</v>
      </c>
    </row>
    <row r="293" spans="1:16" ht="21.75" customHeight="1" x14ac:dyDescent="0.3">
      <c r="A293" s="162"/>
      <c r="B293" s="163"/>
      <c r="C293" s="163" t="s">
        <v>16</v>
      </c>
      <c r="D293" s="574" t="s">
        <v>20</v>
      </c>
      <c r="E293" s="575"/>
      <c r="F293" s="575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81820</v>
      </c>
      <c r="M294" s="173">
        <f ca="1">IFERROR(__xludf.DUMMYFUNCTION("IMPORTRANGE(""https://docs.google.com/spreadsheets/d/1Yj_ptqi66GCucihVvJfMjLAmec39IyEx_6qawtMGysU/edit?usp=sharing"",""สบก!CT92"")"),81820)</f>
        <v>81820</v>
      </c>
      <c r="N294" s="174">
        <f ca="1">IFERROR(__xludf.DUMMYFUNCTION("IMPORTRANGE(""https://docs.google.com/spreadsheets/d/1Yj_ptqi66GCucihVvJfMjLAmec39IyEx_6qawtMGysU/edit?usp=sharing"",""สบก!CU92"")"),81820)</f>
        <v>81820</v>
      </c>
      <c r="O294" s="175">
        <f ca="1">IF(L294&gt;0,N294*100/L294,0)</f>
        <v>100</v>
      </c>
      <c r="P294" s="175">
        <f ca="1">IF(M294&gt;0,N294*100/M294,0)</f>
        <v>100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IFERROR(__xludf.DUMMYFUNCTION("IMPORTRANGE(""https://docs.google.com/spreadsheets/d/1Yj_ptqi66GCucihVvJfMjLAmec39IyEx_6qawtMGysU/edit?usp=sharing"",""สบก!CP92"")"),0)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IFERROR(__xludf.DUMMYFUNCTION("IMPORTRANGE(""https://docs.google.com/spreadsheets/d/1Yj_ptqi66GCucihVvJfMjLAmec39IyEx_6qawtMGysU/edit?usp=sharing"",""สบก!CQ92"")"),81820)</f>
        <v>81820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6" t="s">
        <v>23</v>
      </c>
      <c r="E297" s="575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IFERROR(__xludf.DUMMYFUNCTION("IMPORTRANGE(""https://docs.google.com/spreadsheets/d/1Yj_ptqi66GCucihVvJfMjLAmec39IyEx_6qawtMGysU/edit?usp=sharing"",""สบก!CR92"")"),0)</f>
        <v>0</v>
      </c>
      <c r="M298" s="101"/>
      <c r="N298" s="91">
        <f ca="1">IFERROR(__xludf.DUMMYFUNCTION("IMPORTRANGE(""https://docs.google.com/spreadsheets/d/1Yj_ptqi66GCucihVvJfMjLAmec39IyEx_6qawtMGysU/edit?usp=sharing"",""สบก!CV92"")"),0)</f>
        <v>0</v>
      </c>
      <c r="O298" s="101">
        <f ca="1">IF(L298&gt;0,N298*100/L298,0)</f>
        <v>0</v>
      </c>
      <c r="P298" s="101"/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IFERROR(__xludf.DUMMYFUNCTION("IMPORTRANGE(""https://docs.google.com/spreadsheets/d/1IYY_tgx_IHuhSq3AJ5eI5OnqOPBNLWSHKh2a30DoXe8/edit?usp=sharing"",""สงขลา!J205"")"),0)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IFERROR(__xludf.DUMMYFUNCTION("IMPORTRANGE(""https://docs.google.com/spreadsheets/d/1IYY_tgx_IHuhSq3AJ5eI5OnqOPBNLWSHKh2a30DoXe8/edit?usp=sharing"",""สงขลา!J206"")"),1)</f>
        <v>1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IFERROR(__xludf.DUMMYFUNCTION("IMPORTRANGE(""https://docs.google.com/spreadsheets/d/1IYY_tgx_IHuhSq3AJ5eI5OnqOPBNLWSHKh2a30DoXe8/edit?usp=sharing"",""สงขลา!J207"")"),1)</f>
        <v>1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IFERROR(__xludf.DUMMYFUNCTION("IMPORTRANGE(""https://docs.google.com/spreadsheets/d/1IYY_tgx_IHuhSq3AJ5eI5OnqOPBNLWSHKh2a30DoXe8/edit?usp=sharing"",""สงขลา!J208"")"),1)</f>
        <v>1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IFERROR(__xludf.DUMMYFUNCTION("IMPORTRANGE(""https://docs.google.com/spreadsheets/d/1IYY_tgx_IHuhSq3AJ5eI5OnqOPBNLWSHKh2a30DoXe8/edit?usp=sharing"",""สงขลา!I209"")"),15)</f>
        <v>15</v>
      </c>
      <c r="J304" s="210">
        <f ca="1">IFERROR(__xludf.DUMMYFUNCTION("IMPORTRANGE(""https://docs.google.com/spreadsheets/d/1IYY_tgx_IHuhSq3AJ5eI5OnqOPBNLWSHKh2a30DoXe8/edit?usp=sharing"",""สงขลา!J209"")"),15)</f>
        <v>15</v>
      </c>
      <c r="K304" s="230">
        <f ca="1">IF(I304&gt;0,J304*100/I304,0)</f>
        <v>100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IFERROR(__xludf.DUMMYFUNCTION("IMPORTRANGE(""https://docs.google.com/spreadsheets/d/1IYY_tgx_IHuhSq3AJ5eI5OnqOPBNLWSHKh2a30DoXe8/edit?usp=sharing"",""สงขลา!I211"")"),15)</f>
        <v>15</v>
      </c>
      <c r="J306" s="210">
        <f ca="1">IFERROR(__xludf.DUMMYFUNCTION("IMPORTRANGE(""https://docs.google.com/spreadsheets/d/1IYY_tgx_IHuhSq3AJ5eI5OnqOPBNLWSHKh2a30DoXe8/edit?usp=sharing"",""สงขลา!J211"")"),15)</f>
        <v>15</v>
      </c>
      <c r="K306" s="230">
        <f ca="1">IF(I306&gt;0,J306*100/I306,0)</f>
        <v>100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IFERROR(__xludf.DUMMYFUNCTION("IMPORTRANGE(""https://docs.google.com/spreadsheets/d/1IYY_tgx_IHuhSq3AJ5eI5OnqOPBNLWSHKh2a30DoXe8/edit?usp=sharing"",""สงขลา!J212"")"),0)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IFERROR(__xludf.DUMMYFUNCTION("IMPORTRANGE(""https://docs.google.com/spreadsheets/d/1IYY_tgx_IHuhSq3AJ5eI5OnqOPBNLWSHKh2a30DoXe8/edit?usp=sharing"",""สงขลา!J213"")"),0)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IFERROR(__xludf.DUMMYFUNCTION("IMPORTRANGE(""https://docs.google.com/spreadsheets/d/1IYY_tgx_IHuhSq3AJ5eI5OnqOPBNLWSHKh2a30DoXe8/edit?usp=sharing"",""สงขลา!I214"")"),1)</f>
        <v>1</v>
      </c>
      <c r="J309" s="339">
        <f ca="1">IFERROR(__xludf.DUMMYFUNCTION("IMPORTRANGE(""https://docs.google.com/spreadsheets/d/1IYY_tgx_IHuhSq3AJ5eI5OnqOPBNLWSHKh2a30DoXe8/edit?usp=sharing"",""สงขลา!J214"")"),1)</f>
        <v>1</v>
      </c>
      <c r="K309" s="340">
        <f ca="1">IF(I309&gt;0,J309*100/I309,0)</f>
        <v>100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2" t="s">
        <v>17</v>
      </c>
      <c r="E310" s="573"/>
      <c r="F310" s="573"/>
      <c r="G310" s="573"/>
      <c r="H310" s="153" t="s">
        <v>12</v>
      </c>
      <c r="I310" s="342"/>
      <c r="J310" s="342"/>
      <c r="K310" s="343"/>
      <c r="L310" s="156">
        <f t="shared" ref="L310:N310" ca="1" si="93">L311+L312</f>
        <v>1261600</v>
      </c>
      <c r="M310" s="156">
        <f t="shared" ca="1" si="93"/>
        <v>1261600</v>
      </c>
      <c r="N310" s="156">
        <f t="shared" ca="1" si="93"/>
        <v>1203220</v>
      </c>
      <c r="O310" s="155">
        <f t="shared" ref="O310:O312" ca="1" si="94">IF(L310&gt;0,N310*100/L310,0)</f>
        <v>95.372542802790107</v>
      </c>
      <c r="P310" s="155">
        <f t="shared" ref="P310:P312" ca="1" si="95">IF(M310&gt;0,N310*100/M310,0)</f>
        <v>95.372542802790107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1261600</v>
      </c>
      <c r="M312" s="161">
        <f t="shared" ca="1" si="97"/>
        <v>1261600</v>
      </c>
      <c r="N312" s="161">
        <f t="shared" ca="1" si="97"/>
        <v>1203220</v>
      </c>
      <c r="O312" s="160">
        <f t="shared" ca="1" si="94"/>
        <v>95.372542802790107</v>
      </c>
      <c r="P312" s="160">
        <f t="shared" ca="1" si="95"/>
        <v>95.372542802790107</v>
      </c>
    </row>
    <row r="313" spans="1:16" ht="21.75" customHeight="1" x14ac:dyDescent="0.3">
      <c r="A313" s="162"/>
      <c r="B313" s="163"/>
      <c r="C313" s="163" t="s">
        <v>16</v>
      </c>
      <c r="D313" s="574" t="s">
        <v>20</v>
      </c>
      <c r="E313" s="575"/>
      <c r="F313" s="575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217600</v>
      </c>
      <c r="M314" s="173">
        <f ca="1">IFERROR(__xludf.DUMMYFUNCTION("IMPORTRANGE(""https://docs.google.com/spreadsheets/d/1Yj_ptqi66GCucihVvJfMjLAmec39IyEx_6qawtMGysU/edit?usp=sharing"",""สบก!DC92"")"),217600)</f>
        <v>217600</v>
      </c>
      <c r="N314" s="174">
        <f ca="1">IFERROR(__xludf.DUMMYFUNCTION("IMPORTRANGE(""https://docs.google.com/spreadsheets/d/1Yj_ptqi66GCucihVvJfMjLAmec39IyEx_6qawtMGysU/edit?usp=sharing"",""สบก!DD92"")"),159220)</f>
        <v>159220</v>
      </c>
      <c r="O314" s="175">
        <f ca="1">IF(L314&gt;0,N314*100/L314,0)</f>
        <v>73.170955882352942</v>
      </c>
      <c r="P314" s="175">
        <f ca="1">IF(M314&gt;0,N314*100/M314,0)</f>
        <v>73.170955882352942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IFERROR(__xludf.DUMMYFUNCTION("IMPORTRANGE(""https://docs.google.com/spreadsheets/d/1Yj_ptqi66GCucihVvJfMjLAmec39IyEx_6qawtMGysU/edit?usp=sharing"",""สบก!CY92"")"),0)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IFERROR(__xludf.DUMMYFUNCTION("IMPORTRANGE(""https://docs.google.com/spreadsheets/d/1Yj_ptqi66GCucihVvJfMjLAmec39IyEx_6qawtMGysU/edit?usp=sharing"",""สบก!CZ92"")"),217600)</f>
        <v>217600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6" t="s">
        <v>23</v>
      </c>
      <c r="E317" s="575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IFERROR(__xludf.DUMMYFUNCTION("IMPORTRANGE(""https://docs.google.com/spreadsheets/d/1Yj_ptqi66GCucihVvJfMjLAmec39IyEx_6qawtMGysU/edit?usp=sharing"",""สบก!DA92"")"),1044000)</f>
        <v>1044000</v>
      </c>
      <c r="M318" s="101">
        <f ca="1">L318</f>
        <v>1044000</v>
      </c>
      <c r="N318" s="91">
        <f ca="1">IFERROR(__xludf.DUMMYFUNCTION("IMPORTRANGE(""https://docs.google.com/spreadsheets/d/1Yj_ptqi66GCucihVvJfMjLAmec39IyEx_6qawtMGysU/edit?usp=sharing"",""สบก!DE92"")"),1044000)</f>
        <v>1044000</v>
      </c>
      <c r="O318" s="101">
        <f ca="1">IF(L318&gt;0,N318*100/L318,0)</f>
        <v>100</v>
      </c>
      <c r="P318" s="101">
        <f ca="1">IF(M318&gt;0,N318*100/M318,0)</f>
        <v>100</v>
      </c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IFERROR(__xludf.DUMMYFUNCTION("IMPORTRANGE(""https://docs.google.com/spreadsheets/d/1IYY_tgx_IHuhSq3AJ5eI5OnqOPBNLWSHKh2a30DoXe8/edit?usp=sharing"",""สงขลา!J220"")"),0)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IFERROR(__xludf.DUMMYFUNCTION("IMPORTRANGE(""https://docs.google.com/spreadsheets/d/1IYY_tgx_IHuhSq3AJ5eI5OnqOPBNLWSHKh2a30DoXe8/edit?usp=sharing"",""สงขลา!J221"")"),1)</f>
        <v>1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IFERROR(__xludf.DUMMYFUNCTION("IMPORTRANGE(""https://docs.google.com/spreadsheets/d/1IYY_tgx_IHuhSq3AJ5eI5OnqOPBNLWSHKh2a30DoXe8/edit?usp=sharing"",""สงขลา!J222"")"),1)</f>
        <v>1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IFERROR(__xludf.DUMMYFUNCTION("IMPORTRANGE(""https://docs.google.com/spreadsheets/d/1IYY_tgx_IHuhSq3AJ5eI5OnqOPBNLWSHKh2a30DoXe8/edit?usp=sharing"",""สงขลา!J223"")"),1)</f>
        <v>1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IFERROR(__xludf.DUMMYFUNCTION("IMPORTRANGE(""https://docs.google.com/spreadsheets/d/1IYY_tgx_IHuhSq3AJ5eI5OnqOPBNLWSHKh2a30DoXe8/edit?usp=sharing"",""สงขลา!I224"")"),1)</f>
        <v>1</v>
      </c>
      <c r="J324" s="210">
        <f ca="1">IFERROR(__xludf.DUMMYFUNCTION("IMPORTRANGE(""https://docs.google.com/spreadsheets/d/1IYY_tgx_IHuhSq3AJ5eI5OnqOPBNLWSHKh2a30DoXe8/edit?usp=sharing"",""สงขลา!J224"")"),1)</f>
        <v>1</v>
      </c>
      <c r="K324" s="230">
        <f ca="1">IF(I324&gt;0,J324*100/I324,0)</f>
        <v>100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IFERROR(__xludf.DUMMYFUNCTION("IMPORTRANGE(""https://docs.google.com/spreadsheets/d/1IYY_tgx_IHuhSq3AJ5eI5OnqOPBNLWSHKh2a30DoXe8/edit?usp=sharing"",""สงขลา!J225"")"),0)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IFERROR(__xludf.DUMMYFUNCTION("IMPORTRANGE(""https://docs.google.com/spreadsheets/d/1IYY_tgx_IHuhSq3AJ5eI5OnqOPBNLWSHKh2a30DoXe8/edit?usp=sharing"",""สงขลา!J226"")"),0)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IFERROR(__xludf.DUMMYFUNCTION("IMPORTRANGE(""https://docs.google.com/spreadsheets/d/1IYY_tgx_IHuhSq3AJ5eI5OnqOPBNLWSHKh2a30DoXe8/edit?usp=sharing"",""สงขลา!I228"")"),210)</f>
        <v>210</v>
      </c>
      <c r="J328" s="345">
        <f ca="1">IFERROR(__xludf.DUMMYFUNCTION("IMPORTRANGE(""https://docs.google.com/spreadsheets/d/1IYY_tgx_IHuhSq3AJ5eI5OnqOPBNLWSHKh2a30DoXe8/edit?usp=sharing"",""สงขลา!J228"")"),401)</f>
        <v>401</v>
      </c>
      <c r="K328" s="323">
        <f ca="1">IF(I328&gt;0,J328*100/I328,0)</f>
        <v>190.95238095238096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2" t="s">
        <v>17</v>
      </c>
      <c r="E329" s="573"/>
      <c r="F329" s="573"/>
      <c r="G329" s="573"/>
      <c r="H329" s="153" t="s">
        <v>12</v>
      </c>
      <c r="I329" s="166"/>
      <c r="J329" s="166"/>
      <c r="K329" s="167"/>
      <c r="L329" s="156">
        <f t="shared" ref="L329:N329" ca="1" si="98">L330+L331</f>
        <v>1143610</v>
      </c>
      <c r="M329" s="156">
        <f t="shared" ca="1" si="98"/>
        <v>1185410</v>
      </c>
      <c r="N329" s="156">
        <f t="shared" ca="1" si="98"/>
        <v>1082918.67</v>
      </c>
      <c r="O329" s="155">
        <f t="shared" ref="O329:O331" ca="1" si="99">IF(L329&gt;0,N329*100/L329,0)</f>
        <v>94.693004608214338</v>
      </c>
      <c r="P329" s="155">
        <f t="shared" ref="P329:P331" ca="1" si="100">IF(M329&gt;0,N329*100/M329,0)</f>
        <v>91.353934081878847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1143610</v>
      </c>
      <c r="M331" s="161">
        <f t="shared" ca="1" si="102"/>
        <v>1185410</v>
      </c>
      <c r="N331" s="161">
        <f t="shared" ca="1" si="102"/>
        <v>1082918.67</v>
      </c>
      <c r="O331" s="160">
        <f t="shared" ca="1" si="99"/>
        <v>94.693004608214338</v>
      </c>
      <c r="P331" s="160">
        <f t="shared" ca="1" si="100"/>
        <v>91.353934081878847</v>
      </c>
    </row>
    <row r="332" spans="1:16" ht="21.75" customHeight="1" x14ac:dyDescent="0.3">
      <c r="A332" s="162"/>
      <c r="B332" s="163"/>
      <c r="C332" s="163" t="s">
        <v>16</v>
      </c>
      <c r="D332" s="574" t="s">
        <v>20</v>
      </c>
      <c r="E332" s="575"/>
      <c r="F332" s="575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1126610</v>
      </c>
      <c r="M333" s="173">
        <f ca="1">IFERROR(__xludf.DUMMYFUNCTION("IMPORTRANGE(""https://docs.google.com/spreadsheets/d/1Yj_ptqi66GCucihVvJfMjLAmec39IyEx_6qawtMGysU/edit?usp=sharing"",""สบก!DL92"")"),1168410)</f>
        <v>1168410</v>
      </c>
      <c r="N333" s="174">
        <f ca="1">IFERROR(__xludf.DUMMYFUNCTION("IMPORTRANGE(""https://docs.google.com/spreadsheets/d/1Yj_ptqi66GCucihVvJfMjLAmec39IyEx_6qawtMGysU/edit?usp=sharing"",""สบก!DM92"")"),1065918.67)</f>
        <v>1065918.67</v>
      </c>
      <c r="O333" s="175">
        <f ca="1">IF(L333&gt;0,N333*100/L333,0)</f>
        <v>94.612924614551616</v>
      </c>
      <c r="P333" s="175">
        <f ca="1">IF(M333&gt;0,N333*100/M333,0)</f>
        <v>91.228136527417604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IFERROR(__xludf.DUMMYFUNCTION("IMPORTRANGE(""https://docs.google.com/spreadsheets/d/1Yj_ptqi66GCucihVvJfMjLAmec39IyEx_6qawtMGysU/edit?usp=sharing"",""สบก!DH92"")"),773000)</f>
        <v>773000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IFERROR(__xludf.DUMMYFUNCTION("IMPORTRANGE(""https://docs.google.com/spreadsheets/d/1Yj_ptqi66GCucihVvJfMjLAmec39IyEx_6qawtMGysU/edit?usp=sharing"",""สบก!DI92"")"),353610)</f>
        <v>353610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6" t="s">
        <v>23</v>
      </c>
      <c r="E336" s="575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IFERROR(__xludf.DUMMYFUNCTION("IMPORTRANGE(""https://docs.google.com/spreadsheets/d/1Yj_ptqi66GCucihVvJfMjLAmec39IyEx_6qawtMGysU/edit?usp=sharing"",""สบก!DJ92"")"),17000)</f>
        <v>17000</v>
      </c>
      <c r="M337" s="101">
        <f ca="1">L337</f>
        <v>17000</v>
      </c>
      <c r="N337" s="91">
        <f ca="1">IFERROR(__xludf.DUMMYFUNCTION("IMPORTRANGE(""https://docs.google.com/spreadsheets/d/1Yj_ptqi66GCucihVvJfMjLAmec39IyEx_6qawtMGysU/edit?usp=sharing"",""สบก!DN92"")"),17000)</f>
        <v>17000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IFERROR(__xludf.DUMMYFUNCTION("IMPORTRANGE(""https://docs.google.com/spreadsheets/d/1IYY_tgx_IHuhSq3AJ5eI5OnqOPBNLWSHKh2a30DoXe8/edit?usp=sharing"",""สงขลา!I234"")"),0)</f>
        <v>0</v>
      </c>
      <c r="J339" s="194">
        <f ca="1">IFERROR(__xludf.DUMMYFUNCTION("IMPORTRANGE(""https://docs.google.com/spreadsheets/d/1IYY_tgx_IHuhSq3AJ5eI5OnqOPBNLWSHKh2a30DoXe8/edit?usp=sharing"",""สงขลา!J234"")"),208)</f>
        <v>208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IFERROR(__xludf.DUMMYFUNCTION("IMPORTRANGE(""https://docs.google.com/spreadsheets/d/1IYY_tgx_IHuhSq3AJ5eI5OnqOPBNLWSHKh2a30DoXe8/edit?usp=sharing"",""สงขลา!I235"")"),1720)</f>
        <v>1720</v>
      </c>
      <c r="J340" s="194">
        <f ca="1">IFERROR(__xludf.DUMMYFUNCTION("IMPORTRANGE(""https://docs.google.com/spreadsheets/d/1IYY_tgx_IHuhSq3AJ5eI5OnqOPBNLWSHKh2a30DoXe8/edit?usp=sharing"",""สงขลา!J235"")"),1747.22)</f>
        <v>1747.22</v>
      </c>
      <c r="K340" s="348">
        <f t="shared" ca="1" si="103"/>
        <v>101.58255813953488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IFERROR(__xludf.DUMMYFUNCTION("IMPORTRANGE(""https://docs.google.com/spreadsheets/d/1IYY_tgx_IHuhSq3AJ5eI5OnqOPBNLWSHKh2a30DoXe8/edit?usp=sharing"",""สงขลา!I236"")"),210)</f>
        <v>210</v>
      </c>
      <c r="J341" s="194">
        <f ca="1">IFERROR(__xludf.DUMMYFUNCTION("IMPORTRANGE(""https://docs.google.com/spreadsheets/d/1IYY_tgx_IHuhSq3AJ5eI5OnqOPBNLWSHKh2a30DoXe8/edit?usp=sharing"",""สงขลา!J236"")"),427)</f>
        <v>427</v>
      </c>
      <c r="K341" s="348">
        <f t="shared" ca="1" si="103"/>
        <v>203.33333333333334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IFERROR(__xludf.DUMMYFUNCTION("IMPORTRANGE(""https://docs.google.com/spreadsheets/d/1IYY_tgx_IHuhSq3AJ5eI5OnqOPBNLWSHKh2a30DoXe8/edit?usp=sharing"",""สงขลา!I237"")"),0)</f>
        <v>0</v>
      </c>
      <c r="J342" s="194">
        <f ca="1">IFERROR(__xludf.DUMMYFUNCTION("IMPORTRANGE(""https://docs.google.com/spreadsheets/d/1IYY_tgx_IHuhSq3AJ5eI5OnqOPBNLWSHKh2a30DoXe8/edit?usp=sharing"",""สงขลา!J237"")"),4555.02)</f>
        <v>4555.0200000000004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IFERROR(__xludf.DUMMYFUNCTION("IMPORTRANGE(""https://docs.google.com/spreadsheets/d/1IYY_tgx_IHuhSq3AJ5eI5OnqOPBNLWSHKh2a30DoXe8/edit?usp=sharing"",""สงขลา!I238"")"),210)</f>
        <v>210</v>
      </c>
      <c r="J343" s="194">
        <f ca="1">IFERROR(__xludf.DUMMYFUNCTION("IMPORTRANGE(""https://docs.google.com/spreadsheets/d/1IYY_tgx_IHuhSq3AJ5eI5OnqOPBNLWSHKh2a30DoXe8/edit?usp=sharing"",""สงขลา!J238"")"),0)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IFERROR(__xludf.DUMMYFUNCTION("IMPORTRANGE(""https://docs.google.com/spreadsheets/d/1IYY_tgx_IHuhSq3AJ5eI5OnqOPBNLWSHKh2a30DoXe8/edit?usp=sharing"",""สงขลา!I239"")"),0)</f>
        <v>0</v>
      </c>
      <c r="J344" s="194">
        <f ca="1">IFERROR(__xludf.DUMMYFUNCTION("IMPORTRANGE(""https://docs.google.com/spreadsheets/d/1IYY_tgx_IHuhSq3AJ5eI5OnqOPBNLWSHKh2a30DoXe8/edit?usp=sharing"",""สงขลา!J239"")"),0)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IFERROR(__xludf.DUMMYFUNCTION("IMPORTRANGE(""https://docs.google.com/spreadsheets/d/1IYY_tgx_IHuhSq3AJ5eI5OnqOPBNLWSHKh2a30DoXe8/edit?usp=sharing"",""สงขลา!I240"")"),210)</f>
        <v>210</v>
      </c>
      <c r="J345" s="194">
        <f ca="1">IFERROR(__xludf.DUMMYFUNCTION("IMPORTRANGE(""https://docs.google.com/spreadsheets/d/1IYY_tgx_IHuhSq3AJ5eI5OnqOPBNLWSHKh2a30DoXe8/edit?usp=sharing"",""สงขลา!J240"")"),401)</f>
        <v>401</v>
      </c>
      <c r="K345" s="348">
        <f t="shared" ca="1" si="103"/>
        <v>190.95238095238096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IFERROR(__xludf.DUMMYFUNCTION("IMPORTRANGE(""https://docs.google.com/spreadsheets/d/1IYY_tgx_IHuhSq3AJ5eI5OnqOPBNLWSHKh2a30DoXe8/edit?usp=sharing"",""สงขลา!I241"")"),0)</f>
        <v>0</v>
      </c>
      <c r="J346" s="194">
        <f ca="1">IFERROR(__xludf.DUMMYFUNCTION("IMPORTRANGE(""https://docs.google.com/spreadsheets/d/1IYY_tgx_IHuhSq3AJ5eI5OnqOPBNLWSHKh2a30DoXe8/edit?usp=sharing"",""สงขลา!J241"")"),4196.79)</f>
        <v>4196.79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IFERROR(__xludf.DUMMYFUNCTION("IMPORTRANGE(""https://docs.google.com/spreadsheets/d/1IYY_tgx_IHuhSq3AJ5eI5OnqOPBNLWSHKh2a30DoXe8/edit?usp=sharing"",""สงขลา!L242"")"),1652434)</f>
        <v>1652434</v>
      </c>
      <c r="M347" s="364"/>
      <c r="N347" s="364">
        <f ca="1">IFERROR(__xludf.DUMMYFUNCTION("IMPORTRANGE(""https://docs.google.com/spreadsheets/d/1IYY_tgx_IHuhSq3AJ5eI5OnqOPBNLWSHKh2a30DoXe8/edit?usp=sharing"",""สงขลา!M242"")"),1485131.2)</f>
        <v>1485131.2</v>
      </c>
      <c r="O347" s="364">
        <f ca="1">+IF(L347&gt;0,N347*100/L347,0)</f>
        <v>89.875371724377487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IFERROR(__xludf.DUMMYFUNCTION("IMPORTRANGE(""https://docs.google.com/spreadsheets/d/1IYY_tgx_IHuhSq3AJ5eI5OnqOPBNLWSHKh2a30DoXe8/edit?usp=sharing"",""สงขลา!I244"")"),230)</f>
        <v>230</v>
      </c>
      <c r="J349" s="377">
        <f ca="1">IFERROR(__xludf.DUMMYFUNCTION("IMPORTRANGE(""https://docs.google.com/spreadsheets/d/1IYY_tgx_IHuhSq3AJ5eI5OnqOPBNLWSHKh2a30DoXe8/edit?usp=sharing"",""สงขลา!J244"")"),230)</f>
        <v>230</v>
      </c>
      <c r="K349" s="378">
        <f t="shared" ref="K349:K350" ca="1" si="104">IF(I349&gt;0,J349*100/I349,0)</f>
        <v>100</v>
      </c>
      <c r="L349" s="379">
        <f ca="1">IFERROR(__xludf.DUMMYFUNCTION("IMPORTRANGE(""https://docs.google.com/spreadsheets/d/1IYY_tgx_IHuhSq3AJ5eI5OnqOPBNLWSHKh2a30DoXe8/edit?usp=sharing"",""สงขลา!L244"")"),461480)</f>
        <v>461480</v>
      </c>
      <c r="M349" s="379"/>
      <c r="N349" s="379">
        <f ca="1">IFERROR(__xludf.DUMMYFUNCTION("IMPORTRANGE(""https://docs.google.com/spreadsheets/d/1IYY_tgx_IHuhSq3AJ5eI5OnqOPBNLWSHKh2a30DoXe8/edit?usp=sharing"",""สงขลา!M244"")"),422931)</f>
        <v>422931</v>
      </c>
      <c r="O349" s="379">
        <f ca="1">+IF(L349&gt;0,N349*100/L349,0)</f>
        <v>91.646658576753055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IFERROR(__xludf.DUMMYFUNCTION("IMPORTRANGE(""https://docs.google.com/spreadsheets/d/1IYY_tgx_IHuhSq3AJ5eI5OnqOPBNLWSHKh2a30DoXe8/edit?usp=sharing"",""สงขลา!I245"")"),60)</f>
        <v>60</v>
      </c>
      <c r="J350" s="377">
        <f ca="1">IFERROR(__xludf.DUMMYFUNCTION("IMPORTRANGE(""https://docs.google.com/spreadsheets/d/1IYY_tgx_IHuhSq3AJ5eI5OnqOPBNLWSHKh2a30DoXe8/edit?usp=sharing"",""สงขลา!J245"")"),60)</f>
        <v>60</v>
      </c>
      <c r="K350" s="378">
        <f t="shared" ca="1" si="104"/>
        <v>100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IFERROR(__xludf.DUMMYFUNCTION("IMPORTRANGE(""https://docs.google.com/spreadsheets/d/1IYY_tgx_IHuhSq3AJ5eI5OnqOPBNLWSHKh2a30DoXe8/edit?usp=sharing"",""สงขลา!L246"")"),0)</f>
        <v>0</v>
      </c>
      <c r="M351" s="168"/>
      <c r="N351" s="168">
        <f ca="1">IFERROR(__xludf.DUMMYFUNCTION("IMPORTRANGE(""https://docs.google.com/spreadsheets/d/1IYY_tgx_IHuhSq3AJ5eI5OnqOPBNLWSHKh2a30DoXe8/edit?usp=sharing"",""สงขลา!M246"")"),0)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IFERROR(__xludf.DUMMYFUNCTION("IMPORTRANGE(""https://docs.google.com/spreadsheets/d/1IYY_tgx_IHuhSq3AJ5eI5OnqOPBNLWSHKh2a30DoXe8/edit?usp=sharing"",""สงขลา!L247"")"),461480)</f>
        <v>461480</v>
      </c>
      <c r="M352" s="169"/>
      <c r="N352" s="168">
        <f ca="1">IFERROR(__xludf.DUMMYFUNCTION("IMPORTRANGE(""https://docs.google.com/spreadsheets/d/1IYY_tgx_IHuhSq3AJ5eI5OnqOPBNLWSHKh2a30DoXe8/edit?usp=sharing"",""สงขลา!M247"")"),422931)</f>
        <v>422931</v>
      </c>
      <c r="O352" s="169">
        <f t="shared" ca="1" si="105"/>
        <v>91.646658576753055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IFERROR(__xludf.DUMMYFUNCTION("IMPORTRANGE(""https://docs.google.com/spreadsheets/d/1IYY_tgx_IHuhSq3AJ5eI5OnqOPBNLWSHKh2a30DoXe8/edit?usp=sharing"",""สงขลา!L248"")"),0)</f>
        <v>0</v>
      </c>
      <c r="M353" s="175"/>
      <c r="N353" s="175">
        <f ca="1">IFERROR(__xludf.DUMMYFUNCTION("IMPORTRANGE(""https://docs.google.com/spreadsheets/d/1IYY_tgx_IHuhSq3AJ5eI5OnqOPBNLWSHKh2a30DoXe8/edit?usp=sharing"",""สงขลา!M248"")"),0)</f>
        <v>0</v>
      </c>
      <c r="O353" s="175">
        <f t="shared" ca="1" si="105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IFERROR(__xludf.DUMMYFUNCTION("IMPORTRANGE(""https://docs.google.com/spreadsheets/d/1IYY_tgx_IHuhSq3AJ5eI5OnqOPBNLWSHKh2a30DoXe8/edit?usp=sharing"",""สงขลา!L249"")"),461480)</f>
        <v>461480</v>
      </c>
      <c r="M354" s="175"/>
      <c r="N354" s="172">
        <f ca="1">IFERROR(__xludf.DUMMYFUNCTION("IMPORTRANGE(""https://docs.google.com/spreadsheets/d/1IYY_tgx_IHuhSq3AJ5eI5OnqOPBNLWSHKh2a30DoXe8/edit?usp=sharing"",""สงขลา!M249"")"),422931)</f>
        <v>422931</v>
      </c>
      <c r="O354" s="175">
        <f t="shared" ca="1" si="105"/>
        <v>91.646658576753055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IFERROR(__xludf.DUMMYFUNCTION("IMPORTRANGE(""https://docs.google.com/spreadsheets/d/1IYY_tgx_IHuhSq3AJ5eI5OnqOPBNLWSHKh2a30DoXe8/edit?usp=sharing"",""สงขลา!M250"")"),73200)</f>
        <v>73200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IFERROR(__xludf.DUMMYFUNCTION("IMPORTRANGE(""https://docs.google.com/spreadsheets/d/1IYY_tgx_IHuhSq3AJ5eI5OnqOPBNLWSHKh2a30DoXe8/edit?usp=sharing"",""สงขลา!M251"")"),200000)</f>
        <v>200000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IFERROR(__xludf.DUMMYFUNCTION("IMPORTRANGE(""https://docs.google.com/spreadsheets/d/1IYY_tgx_IHuhSq3AJ5eI5OnqOPBNLWSHKh2a30DoXe8/edit?usp=sharing"",""สงขลา!M252"")"),117451)</f>
        <v>117451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IFERROR(__xludf.DUMMYFUNCTION("IMPORTRANGE(""https://docs.google.com/spreadsheets/d/1IYY_tgx_IHuhSq3AJ5eI5OnqOPBNLWSHKh2a30DoXe8/edit?usp=sharing"",""สงขลา!M253"")"),32280)</f>
        <v>32280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IFERROR(__xludf.DUMMYFUNCTION("IMPORTRANGE(""https://docs.google.com/spreadsheets/d/1IYY_tgx_IHuhSq3AJ5eI5OnqOPBNLWSHKh2a30DoXe8/edit?usp=sharing"",""สงขลา!J255"")"),0)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IFERROR(__xludf.DUMMYFUNCTION("IMPORTRANGE(""https://docs.google.com/spreadsheets/d/1IYY_tgx_IHuhSq3AJ5eI5OnqOPBNLWSHKh2a30DoXe8/edit?usp=sharing"",""สงขลา!J256"")"),1)</f>
        <v>1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IFERROR(__xludf.DUMMYFUNCTION("IMPORTRANGE(""https://docs.google.com/spreadsheets/d/1IYY_tgx_IHuhSq3AJ5eI5OnqOPBNLWSHKh2a30DoXe8/edit?usp=sharing"",""สงขลา!J257"")"),1)</f>
        <v>1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IFERROR(__xludf.DUMMYFUNCTION("IMPORTRANGE(""https://docs.google.com/spreadsheets/d/1IYY_tgx_IHuhSq3AJ5eI5OnqOPBNLWSHKh2a30DoXe8/edit?usp=sharing"",""สงขลา!J258"")"),1)</f>
        <v>1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IFERROR(__xludf.DUMMYFUNCTION("IMPORTRANGE(""https://docs.google.com/spreadsheets/d/1IYY_tgx_IHuhSq3AJ5eI5OnqOPBNLWSHKh2a30DoXe8/edit?usp=sharing"",""สงขลา!J166"")"),0)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IFERROR(__xludf.DUMMYFUNCTION("IMPORTRANGE(""https://docs.google.com/spreadsheets/d/1IYY_tgx_IHuhSq3AJ5eI5OnqOPBNLWSHKh2a30DoXe8/edit?usp=sharing"",""สงขลา!J166"")"),0)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IFERROR(__xludf.DUMMYFUNCTION("IMPORTRANGE(""https://docs.google.com/spreadsheets/d/1IYY_tgx_IHuhSq3AJ5eI5OnqOPBNLWSHKh2a30DoXe8/edit?usp=sharing"",""สงขลา!J166"")"),0)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IFERROR(__xludf.DUMMYFUNCTION("IMPORTRANGE(""https://docs.google.com/spreadsheets/d/1IYY_tgx_IHuhSq3AJ5eI5OnqOPBNLWSHKh2a30DoXe8/edit?usp=sharing"",""สงขลา!J166"")"),0)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IFERROR(__xludf.DUMMYFUNCTION("IMPORTRANGE(""https://docs.google.com/spreadsheets/d/1IYY_tgx_IHuhSq3AJ5eI5OnqOPBNLWSHKh2a30DoXe8/edit?usp=sharing"",""สงขลา!I263"")"),60)</f>
        <v>60</v>
      </c>
      <c r="J368" s="194">
        <f ca="1">IFERROR(__xludf.DUMMYFUNCTION("IMPORTRANGE(""https://docs.google.com/spreadsheets/d/1IYY_tgx_IHuhSq3AJ5eI5OnqOPBNLWSHKh2a30DoXe8/edit?usp=sharing"",""สงขลา!J263"")"),60)</f>
        <v>60</v>
      </c>
      <c r="K368" s="167">
        <f t="shared" ca="1" si="106"/>
        <v>100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IFERROR(__xludf.DUMMYFUNCTION("IMPORTRANGE(""https://docs.google.com/spreadsheets/d/1IYY_tgx_IHuhSq3AJ5eI5OnqOPBNLWSHKh2a30DoXe8/edit?usp=sharing"",""สงขลา!I164"")"),0)</f>
        <v>0</v>
      </c>
      <c r="J369" s="210">
        <f ca="1">IFERROR(__xludf.DUMMYFUNCTION("IMPORTRANGE(""https://docs.google.com/spreadsheets/d/1IYY_tgx_IHuhSq3AJ5eI5OnqOPBNLWSHKh2a30DoXe8/edit?usp=sharing"",""สงขลา!J164"")"),0)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IFERROR(__xludf.DUMMYFUNCTION("IMPORTRANGE(""https://docs.google.com/spreadsheets/d/1IYY_tgx_IHuhSq3AJ5eI5OnqOPBNLWSHKh2a30DoXe8/edit?usp=sharing"",""สงขลา!I265"")"),60)</f>
        <v>60</v>
      </c>
      <c r="J370" s="210">
        <f ca="1">IFERROR(__xludf.DUMMYFUNCTION("IMPORTRANGE(""https://docs.google.com/spreadsheets/d/1IYY_tgx_IHuhSq3AJ5eI5OnqOPBNLWSHKh2a30DoXe8/edit?usp=sharing"",""สงขลา!J265"")"),60)</f>
        <v>60</v>
      </c>
      <c r="K370" s="167">
        <f t="shared" ca="1" si="106"/>
        <v>100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IFERROR(__xludf.DUMMYFUNCTION("IMPORTRANGE(""https://docs.google.com/spreadsheets/d/1IYY_tgx_IHuhSq3AJ5eI5OnqOPBNLWSHKh2a30DoXe8/edit?usp=sharing"",""สงขลา!I164"")"),0)</f>
        <v>0</v>
      </c>
      <c r="J371" s="195">
        <f ca="1">IFERROR(__xludf.DUMMYFUNCTION("IMPORTRANGE(""https://docs.google.com/spreadsheets/d/1IYY_tgx_IHuhSq3AJ5eI5OnqOPBNLWSHKh2a30DoXe8/edit?usp=sharing"",""สงขลา!J164"")"),0)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IFERROR(__xludf.DUMMYFUNCTION("IMPORTRANGE(""https://docs.google.com/spreadsheets/d/1IYY_tgx_IHuhSq3AJ5eI5OnqOPBNLWSHKh2a30DoXe8/edit?usp=sharing"",""สงขลา!I267"")"),60)</f>
        <v>60</v>
      </c>
      <c r="J372" s="195">
        <f ca="1">IFERROR(__xludf.DUMMYFUNCTION("IMPORTRANGE(""https://docs.google.com/spreadsheets/d/1IYY_tgx_IHuhSq3AJ5eI5OnqOPBNLWSHKh2a30DoXe8/edit?usp=sharing"",""สงขลา!J267"")"),60)</f>
        <v>60</v>
      </c>
      <c r="K372" s="167">
        <f t="shared" ca="1" si="106"/>
        <v>100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IFERROR(__xludf.DUMMYFUNCTION("IMPORTRANGE(""https://docs.google.com/spreadsheets/d/1IYY_tgx_IHuhSq3AJ5eI5OnqOPBNLWSHKh2a30DoXe8/edit?usp=sharing"",""สงขลา!I164"")"),0)</f>
        <v>0</v>
      </c>
      <c r="J373" s="210">
        <f ca="1">IFERROR(__xludf.DUMMYFUNCTION("IMPORTRANGE(""https://docs.google.com/spreadsheets/d/1IYY_tgx_IHuhSq3AJ5eI5OnqOPBNLWSHKh2a30DoXe8/edit?usp=sharing"",""สงขลา!J164"")"),0)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IFERROR(__xludf.DUMMYFUNCTION("IMPORTRANGE(""https://docs.google.com/spreadsheets/d/1IYY_tgx_IHuhSq3AJ5eI5OnqOPBNLWSHKh2a30DoXe8/edit?usp=sharing"",""สงขลา!I164"")"),0)</f>
        <v>0</v>
      </c>
      <c r="J374" s="194">
        <f ca="1">IFERROR(__xludf.DUMMYFUNCTION("IMPORTRANGE(""https://docs.google.com/spreadsheets/d/1IYY_tgx_IHuhSq3AJ5eI5OnqOPBNLWSHKh2a30DoXe8/edit?usp=sharing"",""สงขลา!J164"")"),0)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IFERROR(__xludf.DUMMYFUNCTION("IMPORTRANGE(""https://docs.google.com/spreadsheets/d/1IYY_tgx_IHuhSq3AJ5eI5OnqOPBNLWSHKh2a30DoXe8/edit?usp=sharing"",""สงขลา!I270"")"),230)</f>
        <v>230</v>
      </c>
      <c r="J375" s="194">
        <f ca="1">IFERROR(__xludf.DUMMYFUNCTION("IMPORTRANGE(""https://docs.google.com/spreadsheets/d/1IYY_tgx_IHuhSq3AJ5eI5OnqOPBNLWSHKh2a30DoXe8/edit?usp=sharing"",""สงขลา!J270"")"),230)</f>
        <v>230</v>
      </c>
      <c r="K375" s="167">
        <f t="shared" ref="K375:K377" ca="1" si="107">IF(I375&gt;0,J375*100/I375,0)</f>
        <v>100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IFERROR(__xludf.DUMMYFUNCTION("IMPORTRANGE(""https://docs.google.com/spreadsheets/d/1IYY_tgx_IHuhSq3AJ5eI5OnqOPBNLWSHKh2a30DoXe8/edit?usp=sharing"",""สงขลา!I271"")"),80)</f>
        <v>80</v>
      </c>
      <c r="J376" s="195">
        <f ca="1">IFERROR(__xludf.DUMMYFUNCTION("IMPORTRANGE(""https://docs.google.com/spreadsheets/d/1IYY_tgx_IHuhSq3AJ5eI5OnqOPBNLWSHKh2a30DoXe8/edit?usp=sharing"",""สงขลา!J271"")"),80)</f>
        <v>80</v>
      </c>
      <c r="K376" s="167">
        <f t="shared" ca="1" si="107"/>
        <v>100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IFERROR(__xludf.DUMMYFUNCTION("IMPORTRANGE(""https://docs.google.com/spreadsheets/d/1IYY_tgx_IHuhSq3AJ5eI5OnqOPBNLWSHKh2a30DoXe8/edit?usp=sharing"",""สงขลา!I272"")"),150)</f>
        <v>150</v>
      </c>
      <c r="J377" s="210">
        <f ca="1">IFERROR(__xludf.DUMMYFUNCTION("IMPORTRANGE(""https://docs.google.com/spreadsheets/d/1IYY_tgx_IHuhSq3AJ5eI5OnqOPBNLWSHKh2a30DoXe8/edit?usp=sharing"",""สงขลา!J272"")"),150)</f>
        <v>150</v>
      </c>
      <c r="K377" s="167">
        <f t="shared" ca="1" si="107"/>
        <v>100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IFERROR(__xludf.DUMMYFUNCTION("IMPORTRANGE(""https://docs.google.com/spreadsheets/d/1IYY_tgx_IHuhSq3AJ5eI5OnqOPBNLWSHKh2a30DoXe8/edit?usp=sharing"",""สงขลา!J273"")"),0)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IFERROR(__xludf.DUMMYFUNCTION("IMPORTRANGE(""https://docs.google.com/spreadsheets/d/1IYY_tgx_IHuhSq3AJ5eI5OnqOPBNLWSHKh2a30DoXe8/edit?usp=sharing"",""สงขลา!J274"")"),0)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IFERROR(__xludf.DUMMYFUNCTION("IMPORTRANGE(""https://docs.google.com/spreadsheets/d/1IYY_tgx_IHuhSq3AJ5eI5OnqOPBNLWSHKh2a30DoXe8/edit?usp=sharing"",""สงขลา!I275"")"),200)</f>
        <v>200</v>
      </c>
      <c r="J380" s="377">
        <f ca="1">IFERROR(__xludf.DUMMYFUNCTION("IMPORTRANGE(""https://docs.google.com/spreadsheets/d/1IYY_tgx_IHuhSq3AJ5eI5OnqOPBNLWSHKh2a30DoXe8/edit?usp=sharing"",""สงขลา!J275"")"),200)</f>
        <v>200</v>
      </c>
      <c r="K380" s="378">
        <f t="shared" ref="K380:K381" ca="1" si="108">IF(I380&gt;0,J380*100/I380,0)</f>
        <v>100</v>
      </c>
      <c r="L380" s="379">
        <f ca="1">IFERROR(__xludf.DUMMYFUNCTION("IMPORTRANGE(""https://docs.google.com/spreadsheets/d/1IYY_tgx_IHuhSq3AJ5eI5OnqOPBNLWSHKh2a30DoXe8/edit?usp=sharing"",""สงขลา!L275"")"),207560)</f>
        <v>207560</v>
      </c>
      <c r="M380" s="379"/>
      <c r="N380" s="379">
        <f ca="1">IFERROR(__xludf.DUMMYFUNCTION("IMPORTRANGE(""https://docs.google.com/spreadsheets/d/1IYY_tgx_IHuhSq3AJ5eI5OnqOPBNLWSHKh2a30DoXe8/edit?usp=sharing"",""สงขลา!M275"")"),206080)</f>
        <v>206080</v>
      </c>
      <c r="O380" s="379">
        <f ca="1">+IF(L380&gt;0,N380*100/L380,0)</f>
        <v>99.286953170167664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IFERROR(__xludf.DUMMYFUNCTION("IMPORTRANGE(""https://docs.google.com/spreadsheets/d/1IYY_tgx_IHuhSq3AJ5eI5OnqOPBNLWSHKh2a30DoXe8/edit?usp=sharing"",""สงขลา!I276"")"),20)</f>
        <v>20</v>
      </c>
      <c r="J381" s="377">
        <f ca="1">IFERROR(__xludf.DUMMYFUNCTION("IMPORTRANGE(""https://docs.google.com/spreadsheets/d/1IYY_tgx_IHuhSq3AJ5eI5OnqOPBNLWSHKh2a30DoXe8/edit?usp=sharing"",""สงขลา!J276"")"),20)</f>
        <v>20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IFERROR(__xludf.DUMMYFUNCTION("IMPORTRANGE(""https://docs.google.com/spreadsheets/d/1IYY_tgx_IHuhSq3AJ5eI5OnqOPBNLWSHKh2a30DoXe8/edit?usp=sharing"",""สงขลา!L277"")"),0)</f>
        <v>0</v>
      </c>
      <c r="M382" s="168"/>
      <c r="N382" s="168">
        <f ca="1">IFERROR(__xludf.DUMMYFUNCTION("IMPORTRANGE(""https://docs.google.com/spreadsheets/d/1IYY_tgx_IHuhSq3AJ5eI5OnqOPBNLWSHKh2a30DoXe8/edit?usp=sharing"",""สงขลา!M277"")"),0)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IFERROR(__xludf.DUMMYFUNCTION("IMPORTRANGE(""https://docs.google.com/spreadsheets/d/1IYY_tgx_IHuhSq3AJ5eI5OnqOPBNLWSHKh2a30DoXe8/edit?usp=sharing"",""สงขลา!L278"")"),207560)</f>
        <v>207560</v>
      </c>
      <c r="M383" s="169"/>
      <c r="N383" s="169">
        <f ca="1">IFERROR(__xludf.DUMMYFUNCTION("IMPORTRANGE(""https://docs.google.com/spreadsheets/d/1IYY_tgx_IHuhSq3AJ5eI5OnqOPBNLWSHKh2a30DoXe8/edit?usp=sharing"",""สงขลา!M278"")"),206080)</f>
        <v>206080</v>
      </c>
      <c r="O383" s="169">
        <f t="shared" ca="1" si="109"/>
        <v>99.286953170167664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IFERROR(__xludf.DUMMYFUNCTION("IMPORTRANGE(""https://docs.google.com/spreadsheets/d/1IYY_tgx_IHuhSq3AJ5eI5OnqOPBNLWSHKh2a30DoXe8/edit?usp=sharing"",""สงขลา!L279"")"),0)</f>
        <v>0</v>
      </c>
      <c r="M384" s="175"/>
      <c r="N384" s="175">
        <f ca="1">IFERROR(__xludf.DUMMYFUNCTION("IMPORTRANGE(""https://docs.google.com/spreadsheets/d/1IYY_tgx_IHuhSq3AJ5eI5OnqOPBNLWSHKh2a30DoXe8/edit?usp=sharing"",""สงขลา!M279"")"),0)</f>
        <v>0</v>
      </c>
      <c r="O384" s="175">
        <f t="shared" ca="1" si="109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IFERROR(__xludf.DUMMYFUNCTION("IMPORTRANGE(""https://docs.google.com/spreadsheets/d/1IYY_tgx_IHuhSq3AJ5eI5OnqOPBNLWSHKh2a30DoXe8/edit?usp=sharing"",""สงขลา!L280"")"),207560)</f>
        <v>207560</v>
      </c>
      <c r="M385" s="175"/>
      <c r="N385" s="172">
        <f ca="1">IFERROR(__xludf.DUMMYFUNCTION("IMPORTRANGE(""https://docs.google.com/spreadsheets/d/1IYY_tgx_IHuhSq3AJ5eI5OnqOPBNLWSHKh2a30DoXe8/edit?usp=sharing"",""สงขลา!M280"")"),206080)</f>
        <v>206080</v>
      </c>
      <c r="O385" s="175">
        <f t="shared" ca="1" si="109"/>
        <v>99.286953170167664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IFERROR(__xludf.DUMMYFUNCTION("IMPORTRANGE(""https://docs.google.com/spreadsheets/d/1IYY_tgx_IHuhSq3AJ5eI5OnqOPBNLWSHKh2a30DoXe8/edit?usp=sharing"",""สงขลา!M281"")"),58800)</f>
        <v>58800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IFERROR(__xludf.DUMMYFUNCTION("IMPORTRANGE(""https://docs.google.com/spreadsheets/d/1IYY_tgx_IHuhSq3AJ5eI5OnqOPBNLWSHKh2a30DoXe8/edit?usp=sharing"",""สงขลา!M282"")"),125000)</f>
        <v>125000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IFERROR(__xludf.DUMMYFUNCTION("IMPORTRANGE(""https://docs.google.com/spreadsheets/d/1IYY_tgx_IHuhSq3AJ5eI5OnqOPBNLWSHKh2a30DoXe8/edit?usp=sharing"",""สงขลา!M283"")"),0)</f>
        <v>0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IFERROR(__xludf.DUMMYFUNCTION("IMPORTRANGE(""https://docs.google.com/spreadsheets/d/1IYY_tgx_IHuhSq3AJ5eI5OnqOPBNLWSHKh2a30DoXe8/edit?usp=sharing"",""สงขลา!M284"")"),22280)</f>
        <v>22280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IFERROR(__xludf.DUMMYFUNCTION("IMPORTRANGE(""https://docs.google.com/spreadsheets/d/1IYY_tgx_IHuhSq3AJ5eI5OnqOPBNLWSHKh2a30DoXe8/edit?usp=sharing"",""สงขลา!J286"")"),0)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IFERROR(__xludf.DUMMYFUNCTION("IMPORTRANGE(""https://docs.google.com/spreadsheets/d/1IYY_tgx_IHuhSq3AJ5eI5OnqOPBNLWSHKh2a30DoXe8/edit?usp=sharing"",""สงขลา!J287"")"),1)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IFERROR(__xludf.DUMMYFUNCTION("IMPORTRANGE(""https://docs.google.com/spreadsheets/d/1IYY_tgx_IHuhSq3AJ5eI5OnqOPBNLWSHKh2a30DoXe8/edit?usp=sharing"",""สงขลา!J288"")"),1)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IFERROR(__xludf.DUMMYFUNCTION("IMPORTRANGE(""https://docs.google.com/spreadsheets/d/1IYY_tgx_IHuhSq3AJ5eI5OnqOPBNLWSHKh2a30DoXe8/edit?usp=sharing"",""สงขลา!J289"")"),1)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IFERROR(__xludf.DUMMYFUNCTION("IMPORTRANGE(""https://docs.google.com/spreadsheets/d/1IYY_tgx_IHuhSq3AJ5eI5OnqOPBNLWSHKh2a30DoXe8/edit?usp=sharing"",""สงขลา!I291"")"),20)</f>
        <v>20</v>
      </c>
      <c r="J396" s="204">
        <f ca="1">IFERROR(__xludf.DUMMYFUNCTION("IMPORTRANGE(""https://docs.google.com/spreadsheets/d/1IYY_tgx_IHuhSq3AJ5eI5OnqOPBNLWSHKh2a30DoXe8/edit?usp=sharing"",""สงขลา!J291"")"),20)</f>
        <v>20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IFERROR(__xludf.DUMMYFUNCTION("IMPORTRANGE(""https://docs.google.com/spreadsheets/d/1IYY_tgx_IHuhSq3AJ5eI5OnqOPBNLWSHKh2a30DoXe8/edit?usp=sharing"",""สงขลา!I292"")"),200)</f>
        <v>200</v>
      </c>
      <c r="J397" s="204">
        <f ca="1">IFERROR(__xludf.DUMMYFUNCTION("IMPORTRANGE(""https://docs.google.com/spreadsheets/d/1IYY_tgx_IHuhSq3AJ5eI5OnqOPBNLWSHKh2a30DoXe8/edit?usp=sharing"",""สงขลา!J292"")"),200)</f>
        <v>200</v>
      </c>
      <c r="K397" s="167">
        <f t="shared" ca="1" si="110"/>
        <v>100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IFERROR(__xludf.DUMMYFUNCTION("IMPORTRANGE(""https://docs.google.com/spreadsheets/d/1IYY_tgx_IHuhSq3AJ5eI5OnqOPBNLWSHKh2a30DoXe8/edit?usp=sharing"",""สงขลา!I293"")"),20)</f>
        <v>20</v>
      </c>
      <c r="J398" s="204">
        <f ca="1">IFERROR(__xludf.DUMMYFUNCTION("IMPORTRANGE(""https://docs.google.com/spreadsheets/d/1IYY_tgx_IHuhSq3AJ5eI5OnqOPBNLWSHKh2a30DoXe8/edit?usp=sharing"",""สงขลา!J293"")"),20)</f>
        <v>20</v>
      </c>
      <c r="K398" s="167">
        <f t="shared" ca="1" si="110"/>
        <v>100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IFERROR(__xludf.DUMMYFUNCTION("IMPORTRANGE(""https://docs.google.com/spreadsheets/d/1IYY_tgx_IHuhSq3AJ5eI5OnqOPBNLWSHKh2a30DoXe8/edit?usp=sharing"",""สงขลา!J294"")"),0)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IFERROR(__xludf.DUMMYFUNCTION("IMPORTRANGE(""https://docs.google.com/spreadsheets/d/1IYY_tgx_IHuhSq3AJ5eI5OnqOPBNLWSHKh2a30DoXe8/edit?usp=sharing"",""สงขลา!J295"")"),0)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IFERROR(__xludf.DUMMYFUNCTION("IMPORTRANGE(""https://docs.google.com/spreadsheets/d/1IYY_tgx_IHuhSq3AJ5eI5OnqOPBNLWSHKh2a30DoXe8/edit?usp=sharing"",""สงขลา!I296"")"),150)</f>
        <v>150</v>
      </c>
      <c r="J401" s="377">
        <f ca="1">IFERROR(__xludf.DUMMYFUNCTION("IMPORTRANGE(""https://docs.google.com/spreadsheets/d/1IYY_tgx_IHuhSq3AJ5eI5OnqOPBNLWSHKh2a30DoXe8/edit?usp=sharing"",""สงขลา!J296"")"),150)</f>
        <v>150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IFERROR(__xludf.DUMMYFUNCTION("IMPORTRANGE(""https://docs.google.com/spreadsheets/d/1IYY_tgx_IHuhSq3AJ5eI5OnqOPBNLWSHKh2a30DoXe8/edit?usp=sharing"",""สงขลา!L296"")"),158400)</f>
        <v>158400</v>
      </c>
      <c r="M401" s="379"/>
      <c r="N401" s="379">
        <f ca="1">IFERROR(__xludf.DUMMYFUNCTION("IMPORTRANGE(""https://docs.google.com/spreadsheets/d/1IYY_tgx_IHuhSq3AJ5eI5OnqOPBNLWSHKh2a30DoXe8/edit?usp=sharing"",""สงขลา!M296"")"),158400)</f>
        <v>158400</v>
      </c>
      <c r="O401" s="379">
        <f ca="1">+IF(L401&gt;0,N401*100/L401,0)</f>
        <v>100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IFERROR(__xludf.DUMMYFUNCTION("IMPORTRANGE(""https://docs.google.com/spreadsheets/d/1IYY_tgx_IHuhSq3AJ5eI5OnqOPBNLWSHKh2a30DoXe8/edit?usp=sharing"",""สงขลา!I297"")"),50)</f>
        <v>50</v>
      </c>
      <c r="J402" s="377">
        <f ca="1">IFERROR(__xludf.DUMMYFUNCTION("IMPORTRANGE(""https://docs.google.com/spreadsheets/d/1IYY_tgx_IHuhSq3AJ5eI5OnqOPBNLWSHKh2a30DoXe8/edit?usp=sharing"",""สงขลา!J297"")"),50)</f>
        <v>50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IFERROR(__xludf.DUMMYFUNCTION("IMPORTRANGE(""https://docs.google.com/spreadsheets/d/1IYY_tgx_IHuhSq3AJ5eI5OnqOPBNLWSHKh2a30DoXe8/edit?usp=sharing"",""สงขลา!L298"")"),0)</f>
        <v>0</v>
      </c>
      <c r="M403" s="168"/>
      <c r="N403" s="175">
        <f ca="1">IFERROR(__xludf.DUMMYFUNCTION("IMPORTRANGE(""https://docs.google.com/spreadsheets/d/1IYY_tgx_IHuhSq3AJ5eI5OnqOPBNLWSHKh2a30DoXe8/edit?usp=sharing"",""สงขลา!M298"")"),0)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IFERROR(__xludf.DUMMYFUNCTION("IMPORTRANGE(""https://docs.google.com/spreadsheets/d/1IYY_tgx_IHuhSq3AJ5eI5OnqOPBNLWSHKh2a30DoXe8/edit?usp=sharing"",""สงขลา!L299"")"),158400)</f>
        <v>158400</v>
      </c>
      <c r="M404" s="169"/>
      <c r="N404" s="175">
        <f ca="1">IFERROR(__xludf.DUMMYFUNCTION("IMPORTRANGE(""https://docs.google.com/spreadsheets/d/1IYY_tgx_IHuhSq3AJ5eI5OnqOPBNLWSHKh2a30DoXe8/edit?usp=sharing"",""สงขลา!M299"")"),158400)</f>
        <v>158400</v>
      </c>
      <c r="O404" s="175">
        <f t="shared" ca="1" si="112"/>
        <v>100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IFERROR(__xludf.DUMMYFUNCTION("IMPORTRANGE(""https://docs.google.com/spreadsheets/d/1IYY_tgx_IHuhSq3AJ5eI5OnqOPBNLWSHKh2a30DoXe8/edit?usp=sharing"",""สงขลา!L300"")"),0)</f>
        <v>0</v>
      </c>
      <c r="M405" s="175"/>
      <c r="N405" s="175">
        <f ca="1">IFERROR(__xludf.DUMMYFUNCTION("IMPORTRANGE(""https://docs.google.com/spreadsheets/d/1IYY_tgx_IHuhSq3AJ5eI5OnqOPBNLWSHKh2a30DoXe8/edit?usp=sharing"",""สงขลา!M300"")"),0)</f>
        <v>0</v>
      </c>
      <c r="O405" s="175">
        <f t="shared" ca="1" si="112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IFERROR(__xludf.DUMMYFUNCTION("IMPORTRANGE(""https://docs.google.com/spreadsheets/d/1IYY_tgx_IHuhSq3AJ5eI5OnqOPBNLWSHKh2a30DoXe8/edit?usp=sharing"",""สงขลา!L301"")"),158400)</f>
        <v>158400</v>
      </c>
      <c r="M406" s="175"/>
      <c r="N406" s="175">
        <f ca="1">IFERROR(__xludf.DUMMYFUNCTION("IMPORTRANGE(""https://docs.google.com/spreadsheets/d/1IYY_tgx_IHuhSq3AJ5eI5OnqOPBNLWSHKh2a30DoXe8/edit?usp=sharing"",""สงขลา!M301"")"),158400)</f>
        <v>158400</v>
      </c>
      <c r="O406" s="175">
        <f t="shared" ca="1" si="112"/>
        <v>100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IFERROR(__xludf.DUMMYFUNCTION("IMPORTRANGE(""https://docs.google.com/spreadsheets/d/1IYY_tgx_IHuhSq3AJ5eI5OnqOPBNLWSHKh2a30DoXe8/edit?usp=sharing"",""สงขลา!M302"")"),102600)</f>
        <v>102600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IFERROR(__xludf.DUMMYFUNCTION("IMPORTRANGE(""https://docs.google.com/spreadsheets/d/1IYY_tgx_IHuhSq3AJ5eI5OnqOPBNLWSHKh2a30DoXe8/edit?usp=sharing"",""สงขลา!M303"")"),28000)</f>
        <v>28000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IFERROR(__xludf.DUMMYFUNCTION("IMPORTRANGE(""https://docs.google.com/spreadsheets/d/1IYY_tgx_IHuhSq3AJ5eI5OnqOPBNLWSHKh2a30DoXe8/edit?usp=sharing"",""สงขลา!M304"")"),0)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IFERROR(__xludf.DUMMYFUNCTION("IMPORTRANGE(""https://docs.google.com/spreadsheets/d/1IYY_tgx_IHuhSq3AJ5eI5OnqOPBNLWSHKh2a30DoXe8/edit?usp=sharing"",""สงขลา!M305"")"),27800)</f>
        <v>27800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IFERROR(__xludf.DUMMYFUNCTION("IMPORTRANGE(""https://docs.google.com/spreadsheets/d/1IYY_tgx_IHuhSq3AJ5eI5OnqOPBNLWSHKh2a30DoXe8/edit?usp=sharing"",""สงขลา!J307"")"),0)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IFERROR(__xludf.DUMMYFUNCTION("IMPORTRANGE(""https://docs.google.com/spreadsheets/d/1IYY_tgx_IHuhSq3AJ5eI5OnqOPBNLWSHKh2a30DoXe8/edit?usp=sharing"",""สงขลา!J308"")"),1)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IFERROR(__xludf.DUMMYFUNCTION("IMPORTRANGE(""https://docs.google.com/spreadsheets/d/1IYY_tgx_IHuhSq3AJ5eI5OnqOPBNLWSHKh2a30DoXe8/edit?usp=sharing"",""สงขลา!J309"")"),1)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IFERROR(__xludf.DUMMYFUNCTION("IMPORTRANGE(""https://docs.google.com/spreadsheets/d/1IYY_tgx_IHuhSq3AJ5eI5OnqOPBNLWSHKh2a30DoXe8/edit?usp=sharing"",""สงขลา!J310"")"),1)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IFERROR(__xludf.DUMMYFUNCTION("IMPORTRANGE(""https://docs.google.com/spreadsheets/d/1IYY_tgx_IHuhSq3AJ5eI5OnqOPBNLWSHKh2a30DoXe8/edit?usp=sharing"",""สงขลา!I311"")"),50)</f>
        <v>50</v>
      </c>
      <c r="J416" s="207">
        <f ca="1">IFERROR(__xludf.DUMMYFUNCTION("IMPORTRANGE(""https://docs.google.com/spreadsheets/d/1IYY_tgx_IHuhSq3AJ5eI5OnqOPBNLWSHKh2a30DoXe8/edit?usp=sharing"",""สงขลา!J311"")"),50)</f>
        <v>50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IFERROR(__xludf.DUMMYFUNCTION("IMPORTRANGE(""https://docs.google.com/spreadsheets/d/1IYY_tgx_IHuhSq3AJ5eI5OnqOPBNLWSHKh2a30DoXe8/edit?usp=sharing"",""สงขลา!I312"")"),0)</f>
        <v>0</v>
      </c>
      <c r="J417" s="398">
        <f ca="1">IFERROR(__xludf.DUMMYFUNCTION("IMPORTRANGE(""https://docs.google.com/spreadsheets/d/1IYY_tgx_IHuhSq3AJ5eI5OnqOPBNLWSHKh2a30DoXe8/edit?usp=sharing"",""สงขลา!J312"")"),0)</f>
        <v>0</v>
      </c>
      <c r="K417" s="208">
        <f t="shared" ca="1" si="113"/>
        <v>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IFERROR(__xludf.DUMMYFUNCTION("IMPORTRANGE(""https://docs.google.com/spreadsheets/d/1IYY_tgx_IHuhSq3AJ5eI5OnqOPBNLWSHKh2a30DoXe8/edit?usp=sharing"",""สงขลา!I313"")"),0)</f>
        <v>0</v>
      </c>
      <c r="J418" s="399">
        <f ca="1">IFERROR(__xludf.DUMMYFUNCTION("IMPORTRANGE(""https://docs.google.com/spreadsheets/d/1IYY_tgx_IHuhSq3AJ5eI5OnqOPBNLWSHKh2a30DoXe8/edit?usp=sharing"",""สงขลา!J313"")"),0)</f>
        <v>0</v>
      </c>
      <c r="K418" s="208">
        <f t="shared" ca="1" si="113"/>
        <v>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IFERROR(__xludf.DUMMYFUNCTION("IMPORTRANGE(""https://docs.google.com/spreadsheets/d/1IYY_tgx_IHuhSq3AJ5eI5OnqOPBNLWSHKh2a30DoXe8/edit?usp=sharing"",""สงขลา!I314"")"),0)</f>
        <v>0</v>
      </c>
      <c r="J419" s="400">
        <f ca="1">IFERROR(__xludf.DUMMYFUNCTION("IMPORTRANGE(""https://docs.google.com/spreadsheets/d/1IYY_tgx_IHuhSq3AJ5eI5OnqOPBNLWSHKh2a30DoXe8/edit?usp=sharing"",""สงขลา!J314"")"),0)</f>
        <v>0</v>
      </c>
      <c r="K419" s="167">
        <f t="shared" ca="1" si="113"/>
        <v>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IFERROR(__xludf.DUMMYFUNCTION("IMPORTRANGE(""https://docs.google.com/spreadsheets/d/1IYY_tgx_IHuhSq3AJ5eI5OnqOPBNLWSHKh2a30DoXe8/edit?usp=sharing"",""สงขลา!I315"")"),0)</f>
        <v>0</v>
      </c>
      <c r="J420" s="400">
        <f ca="1">IFERROR(__xludf.DUMMYFUNCTION("IMPORTRANGE(""https://docs.google.com/spreadsheets/d/1IYY_tgx_IHuhSq3AJ5eI5OnqOPBNLWSHKh2a30DoXe8/edit?usp=sharing"",""สงขลา!J315"")"),0)</f>
        <v>0</v>
      </c>
      <c r="K420" s="294">
        <f t="shared" ca="1" si="113"/>
        <v>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IFERROR(__xludf.DUMMYFUNCTION("IMPORTRANGE(""https://docs.google.com/spreadsheets/d/1IYY_tgx_IHuhSq3AJ5eI5OnqOPBNLWSHKh2a30DoXe8/edit?usp=sharing"",""สงขลา!I316"")"),40)</f>
        <v>40</v>
      </c>
      <c r="J421" s="398">
        <f ca="1">IFERROR(__xludf.DUMMYFUNCTION("IMPORTRANGE(""https://docs.google.com/spreadsheets/d/1IYY_tgx_IHuhSq3AJ5eI5OnqOPBNLWSHKh2a30DoXe8/edit?usp=sharing"",""สงขลา!J316"")"),40)</f>
        <v>40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IFERROR(__xludf.DUMMYFUNCTION("IMPORTRANGE(""https://docs.google.com/spreadsheets/d/1IYY_tgx_IHuhSq3AJ5eI5OnqOPBNLWSHKh2a30DoXe8/edit?usp=sharing"",""สงขลา!I317"")"),120)</f>
        <v>120</v>
      </c>
      <c r="J422" s="399">
        <f ca="1">IFERROR(__xludf.DUMMYFUNCTION("IMPORTRANGE(""https://docs.google.com/spreadsheets/d/1IYY_tgx_IHuhSq3AJ5eI5OnqOPBNLWSHKh2a30DoXe8/edit?usp=sharing"",""สงขลา!J317"")"),120)</f>
        <v>120</v>
      </c>
      <c r="K422" s="208">
        <f t="shared" ca="1" si="113"/>
        <v>100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IFERROR(__xludf.DUMMYFUNCTION("IMPORTRANGE(""https://docs.google.com/spreadsheets/d/1IYY_tgx_IHuhSq3AJ5eI5OnqOPBNLWSHKh2a30DoXe8/edit?usp=sharing"",""สงขลา!I318"")"),40)</f>
        <v>40</v>
      </c>
      <c r="J423" s="400">
        <f ca="1">IFERROR(__xludf.DUMMYFUNCTION("IMPORTRANGE(""https://docs.google.com/spreadsheets/d/1IYY_tgx_IHuhSq3AJ5eI5OnqOPBNLWSHKh2a30DoXe8/edit?usp=sharing"",""สงขลา!J318"")"),40)</f>
        <v>40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IFERROR(__xludf.DUMMYFUNCTION("IMPORTRANGE(""https://docs.google.com/spreadsheets/d/1IYY_tgx_IHuhSq3AJ5eI5OnqOPBNLWSHKh2a30DoXe8/edit?usp=sharing"",""สงขลา!I319"")"),40)</f>
        <v>40</v>
      </c>
      <c r="J424" s="400">
        <f ca="1">IFERROR(__xludf.DUMMYFUNCTION("IMPORTRANGE(""https://docs.google.com/spreadsheets/d/1IYY_tgx_IHuhSq3AJ5eI5OnqOPBNLWSHKh2a30DoXe8/edit?usp=sharing"",""สงขลา!J319"")"),40)</f>
        <v>40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IFERROR(__xludf.DUMMYFUNCTION("IMPORTRANGE(""https://docs.google.com/spreadsheets/d/1IYY_tgx_IHuhSq3AJ5eI5OnqOPBNLWSHKh2a30DoXe8/edit?usp=sharing"",""สงขลา!I320"")"),40)</f>
        <v>40</v>
      </c>
      <c r="J425" s="400">
        <f ca="1">IFERROR(__xludf.DUMMYFUNCTION("IMPORTRANGE(""https://docs.google.com/spreadsheets/d/1IYY_tgx_IHuhSq3AJ5eI5OnqOPBNLWSHKh2a30DoXe8/edit?usp=sharing"",""สงขลา!J320"")"),40)</f>
        <v>40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IFERROR(__xludf.DUMMYFUNCTION("IMPORTRANGE(""https://docs.google.com/spreadsheets/d/1IYY_tgx_IHuhSq3AJ5eI5OnqOPBNLWSHKh2a30DoXe8/edit?usp=sharing"",""สงขลา!I321"")"),10)</f>
        <v>10</v>
      </c>
      <c r="J426" s="398">
        <f ca="1">IFERROR(__xludf.DUMMYFUNCTION("IMPORTRANGE(""https://docs.google.com/spreadsheets/d/1IYY_tgx_IHuhSq3AJ5eI5OnqOPBNLWSHKh2a30DoXe8/edit?usp=sharing"",""สงขลา!J321"")"),10)</f>
        <v>10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IFERROR(__xludf.DUMMYFUNCTION("IMPORTRANGE(""https://docs.google.com/spreadsheets/d/1IYY_tgx_IHuhSq3AJ5eI5OnqOPBNLWSHKh2a30DoXe8/edit?usp=sharing"",""สงขลา!I322"")"),30)</f>
        <v>30</v>
      </c>
      <c r="J427" s="399">
        <f ca="1">IFERROR(__xludf.DUMMYFUNCTION("IMPORTRANGE(""https://docs.google.com/spreadsheets/d/1IYY_tgx_IHuhSq3AJ5eI5OnqOPBNLWSHKh2a30DoXe8/edit?usp=sharing"",""สงขลา!J322"")"),30)</f>
        <v>30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IFERROR(__xludf.DUMMYFUNCTION("IMPORTRANGE(""https://docs.google.com/spreadsheets/d/1IYY_tgx_IHuhSq3AJ5eI5OnqOPBNLWSHKh2a30DoXe8/edit?usp=sharing"",""สงขลา!I323"")"),10)</f>
        <v>10</v>
      </c>
      <c r="J428" s="400">
        <f ca="1">IFERROR(__xludf.DUMMYFUNCTION("IMPORTRANGE(""https://docs.google.com/spreadsheets/d/1IYY_tgx_IHuhSq3AJ5eI5OnqOPBNLWSHKh2a30DoXe8/edit?usp=sharing"",""สงขลา!J323"")"),10)</f>
        <v>10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IFERROR(__xludf.DUMMYFUNCTION("IMPORTRANGE(""https://docs.google.com/spreadsheets/d/1IYY_tgx_IHuhSq3AJ5eI5OnqOPBNLWSHKh2a30DoXe8/edit?usp=sharing"",""สงขลา!I324"")"),10)</f>
        <v>10</v>
      </c>
      <c r="J429" s="400">
        <f ca="1">IFERROR(__xludf.DUMMYFUNCTION("IMPORTRANGE(""https://docs.google.com/spreadsheets/d/1IYY_tgx_IHuhSq3AJ5eI5OnqOPBNLWSHKh2a30DoXe8/edit?usp=sharing"",""สงขลา!J324"")"),10)</f>
        <v>10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IFERROR(__xludf.DUMMYFUNCTION("IMPORTRANGE(""https://docs.google.com/spreadsheets/d/1IYY_tgx_IHuhSq3AJ5eI5OnqOPBNLWSHKh2a30DoXe8/edit?usp=sharing"",""สงขลา!I325"")"),40)</f>
        <v>40</v>
      </c>
      <c r="J430" s="398">
        <f ca="1">IFERROR(__xludf.DUMMYFUNCTION("IMPORTRANGE(""https://docs.google.com/spreadsheets/d/1IYY_tgx_IHuhSq3AJ5eI5OnqOPBNLWSHKh2a30DoXe8/edit?usp=sharing"",""สงขลา!J325"")"),0)</f>
        <v>0</v>
      </c>
      <c r="K430" s="208">
        <f t="shared" ca="1" si="113"/>
        <v>0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IFERROR(__xludf.DUMMYFUNCTION("IMPORTRANGE(""https://docs.google.com/spreadsheets/d/1IYY_tgx_IHuhSq3AJ5eI5OnqOPBNLWSHKh2a30DoXe8/edit?usp=sharing"",""สงขลา!I326"")"),0)</f>
        <v>0</v>
      </c>
      <c r="J431" s="400">
        <f ca="1">IFERROR(__xludf.DUMMYFUNCTION("IMPORTRANGE(""https://docs.google.com/spreadsheets/d/1IYY_tgx_IHuhSq3AJ5eI5OnqOPBNLWSHKh2a30DoXe8/edit?usp=sharing"",""สงขลา!J326"")"),0)</f>
        <v>0</v>
      </c>
      <c r="K431" s="167">
        <f t="shared" ca="1" si="113"/>
        <v>0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IFERROR(__xludf.DUMMYFUNCTION("IMPORTRANGE(""https://docs.google.com/spreadsheets/d/1IYY_tgx_IHuhSq3AJ5eI5OnqOPBNLWSHKh2a30DoXe8/edit?usp=sharing"",""สงขลา!I327"")"),40)</f>
        <v>40</v>
      </c>
      <c r="J432" s="400">
        <f ca="1">IFERROR(__xludf.DUMMYFUNCTION("IMPORTRANGE(""https://docs.google.com/spreadsheets/d/1IYY_tgx_IHuhSq3AJ5eI5OnqOPBNLWSHKh2a30DoXe8/edit?usp=sharing"",""สงขลา!J327"")"),0)</f>
        <v>0</v>
      </c>
      <c r="K432" s="167">
        <f t="shared" ca="1" si="113"/>
        <v>0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IFERROR(__xludf.DUMMYFUNCTION("IMPORTRANGE(""https://docs.google.com/spreadsheets/d/1IYY_tgx_IHuhSq3AJ5eI5OnqOPBNLWSHKh2a30DoXe8/edit?usp=sharing"",""สงขลา!J328"")"),0)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IFERROR(__xludf.DUMMYFUNCTION("IMPORTRANGE(""https://docs.google.com/spreadsheets/d/1IYY_tgx_IHuhSq3AJ5eI5OnqOPBNLWSHKh2a30DoXe8/edit?usp=sharing"",""สงขลา!J329"")"),0)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IFERROR(__xludf.DUMMYFUNCTION("IMPORTRANGE(""https://docs.google.com/spreadsheets/d/1IYY_tgx_IHuhSq3AJ5eI5OnqOPBNLWSHKh2a30DoXe8/edit?usp=sharing"",""สงขลา!I330"")"),15)</f>
        <v>15</v>
      </c>
      <c r="J435" s="416">
        <f ca="1">IFERROR(__xludf.DUMMYFUNCTION("IMPORTRANGE(""https://docs.google.com/spreadsheets/d/1IYY_tgx_IHuhSq3AJ5eI5OnqOPBNLWSHKh2a30DoXe8/edit?usp=sharing"",""สงขลา!J330"")"),15)</f>
        <v>15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IFERROR(__xludf.DUMMYFUNCTION("IMPORTRANGE(""https://docs.google.com/spreadsheets/d/1IYY_tgx_IHuhSq3AJ5eI5OnqOPBNLWSHKh2a30DoXe8/edit?usp=sharing"",""สงขลา!L330"")"),88000)</f>
        <v>88000</v>
      </c>
      <c r="M435" s="418"/>
      <c r="N435" s="418">
        <f ca="1">IFERROR(__xludf.DUMMYFUNCTION("IMPORTRANGE(""https://docs.google.com/spreadsheets/d/1IYY_tgx_IHuhSq3AJ5eI5OnqOPBNLWSHKh2a30DoXe8/edit?usp=sharing"",""สงขลา!M330"")"),68630)</f>
        <v>68630</v>
      </c>
      <c r="O435" s="418">
        <f t="shared" ref="O435:O439" ca="1" si="114">+IF(L435&gt;0,N435*100/L435,0)</f>
        <v>77.98863636363636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IFERROR(__xludf.DUMMYFUNCTION("IMPORTRANGE(""https://docs.google.com/spreadsheets/d/1IYY_tgx_IHuhSq3AJ5eI5OnqOPBNLWSHKh2a30DoXe8/edit?usp=sharing"",""สงขลา!L331"")"),0)</f>
        <v>0</v>
      </c>
      <c r="M436" s="168"/>
      <c r="N436" s="175">
        <f ca="1">IFERROR(__xludf.DUMMYFUNCTION("IMPORTRANGE(""https://docs.google.com/spreadsheets/d/1IYY_tgx_IHuhSq3AJ5eI5OnqOPBNLWSHKh2a30DoXe8/edit?usp=sharing"",""สงขลา!M331"")"),0)</f>
        <v>0</v>
      </c>
      <c r="O436" s="175">
        <f t="shared" ca="1" si="114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IFERROR(__xludf.DUMMYFUNCTION("IMPORTRANGE(""https://docs.google.com/spreadsheets/d/1IYY_tgx_IHuhSq3AJ5eI5OnqOPBNLWSHKh2a30DoXe8/edit?usp=sharing"",""สงขลา!L332"")"),88000)</f>
        <v>88000</v>
      </c>
      <c r="M437" s="169"/>
      <c r="N437" s="175">
        <f ca="1">IFERROR(__xludf.DUMMYFUNCTION("IMPORTRANGE(""https://docs.google.com/spreadsheets/d/1IYY_tgx_IHuhSq3AJ5eI5OnqOPBNLWSHKh2a30DoXe8/edit?usp=sharing"",""สงขลา!M332"")"),68630)</f>
        <v>68630</v>
      </c>
      <c r="O437" s="175">
        <f t="shared" ca="1" si="114"/>
        <v>77.98863636363636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IFERROR(__xludf.DUMMYFUNCTION("IMPORTRANGE(""https://docs.google.com/spreadsheets/d/1IYY_tgx_IHuhSq3AJ5eI5OnqOPBNLWSHKh2a30DoXe8/edit?usp=sharing"",""สงขลา!L333"")"),0)</f>
        <v>0</v>
      </c>
      <c r="M438" s="175"/>
      <c r="N438" s="175">
        <f ca="1">IFERROR(__xludf.DUMMYFUNCTION("IMPORTRANGE(""https://docs.google.com/spreadsheets/d/1IYY_tgx_IHuhSq3AJ5eI5OnqOPBNLWSHKh2a30DoXe8/edit?usp=sharing"",""สงขลา!M333"")"),0)</f>
        <v>0</v>
      </c>
      <c r="O438" s="175">
        <f t="shared" ca="1" si="114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IFERROR(__xludf.DUMMYFUNCTION("IMPORTRANGE(""https://docs.google.com/spreadsheets/d/1IYY_tgx_IHuhSq3AJ5eI5OnqOPBNLWSHKh2a30DoXe8/edit?usp=sharing"",""สงขลา!L334"")"),88000)</f>
        <v>88000</v>
      </c>
      <c r="M439" s="175"/>
      <c r="N439" s="175">
        <f ca="1">IFERROR(__xludf.DUMMYFUNCTION("IMPORTRANGE(""https://docs.google.com/spreadsheets/d/1IYY_tgx_IHuhSq3AJ5eI5OnqOPBNLWSHKh2a30DoXe8/edit?usp=sharing"",""สงขลา!M334"")"),68630)</f>
        <v>68630</v>
      </c>
      <c r="O439" s="175">
        <f t="shared" ca="1" si="114"/>
        <v>77.98863636363636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IFERROR(__xludf.DUMMYFUNCTION("IMPORTRANGE(""https://docs.google.com/spreadsheets/d/1IYY_tgx_IHuhSq3AJ5eI5OnqOPBNLWSHKh2a30DoXe8/edit?usp=sharing"",""สงขลา!M335"")"),38360)</f>
        <v>38360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IFERROR(__xludf.DUMMYFUNCTION("IMPORTRANGE(""https://docs.google.com/spreadsheets/d/1IYY_tgx_IHuhSq3AJ5eI5OnqOPBNLWSHKh2a30DoXe8/edit?usp=sharing"",""สงขลา!M336"")"),0)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IFERROR(__xludf.DUMMYFUNCTION("IMPORTRANGE(""https://docs.google.com/spreadsheets/d/1IYY_tgx_IHuhSq3AJ5eI5OnqOPBNLWSHKh2a30DoXe8/edit?usp=sharing"",""สงขลา!M337"")"),0)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IFERROR(__xludf.DUMMYFUNCTION("IMPORTRANGE(""https://docs.google.com/spreadsheets/d/1IYY_tgx_IHuhSq3AJ5eI5OnqOPBNLWSHKh2a30DoXe8/edit?usp=sharing"",""สงขลา!M338"")"),30270)</f>
        <v>30270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IFERROR(__xludf.DUMMYFUNCTION("IMPORTRANGE(""https://docs.google.com/spreadsheets/d/1IYY_tgx_IHuhSq3AJ5eI5OnqOPBNLWSHKh2a30DoXe8/edit?usp=sharing"",""สงขลา!J340"")"),0)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IFERROR(__xludf.DUMMYFUNCTION("IMPORTRANGE(""https://docs.google.com/spreadsheets/d/1IYY_tgx_IHuhSq3AJ5eI5OnqOPBNLWSHKh2a30DoXe8/edit?usp=sharing"",""สงขลา!J341"")"),1)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IFERROR(__xludf.DUMMYFUNCTION("IMPORTRANGE(""https://docs.google.com/spreadsheets/d/1IYY_tgx_IHuhSq3AJ5eI5OnqOPBNLWSHKh2a30DoXe8/edit?usp=sharing"",""สงขลา!J342"")"),1)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IFERROR(__xludf.DUMMYFUNCTION("IMPORTRANGE(""https://docs.google.com/spreadsheets/d/1IYY_tgx_IHuhSq3AJ5eI5OnqOPBNLWSHKh2a30DoXe8/edit?usp=sharing"",""สงขลา!J343"")"),1)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IFERROR(__xludf.DUMMYFUNCTION("IMPORTRANGE(""https://docs.google.com/spreadsheets/d/1IYY_tgx_IHuhSq3AJ5eI5OnqOPBNLWSHKh2a30DoXe8/edit?usp=sharing"",""สงขลา!I344"")"),15)</f>
        <v>15</v>
      </c>
      <c r="J449" s="207">
        <f ca="1">IFERROR(__xludf.DUMMYFUNCTION("IMPORTRANGE(""https://docs.google.com/spreadsheets/d/1IYY_tgx_IHuhSq3AJ5eI5OnqOPBNLWSHKh2a30DoXe8/edit?usp=sharing"",""สงขลา!J344"")"),15)</f>
        <v>15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IFERROR(__xludf.DUMMYFUNCTION("IMPORTRANGE(""https://docs.google.com/spreadsheets/d/1IYY_tgx_IHuhSq3AJ5eI5OnqOPBNLWSHKh2a30DoXe8/edit?usp=sharing"",""สงขลา!I345"")"),15)</f>
        <v>15</v>
      </c>
      <c r="J450" s="195">
        <f ca="1">IFERROR(__xludf.DUMMYFUNCTION("IMPORTRANGE(""https://docs.google.com/spreadsheets/d/1IYY_tgx_IHuhSq3AJ5eI5OnqOPBNLWSHKh2a30DoXe8/edit?usp=sharing"",""สงขลา!J345"")"),15)</f>
        <v>15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IFERROR(__xludf.DUMMYFUNCTION("IMPORTRANGE(""https://docs.google.com/spreadsheets/d/1IYY_tgx_IHuhSq3AJ5eI5OnqOPBNLWSHKh2a30DoXe8/edit?usp=sharing"",""สงขลา!I346"")"),0)</f>
        <v>0</v>
      </c>
      <c r="J451" s="194">
        <f ca="1">IFERROR(__xludf.DUMMYFUNCTION("IMPORTRANGE(""https://docs.google.com/spreadsheets/d/1IYY_tgx_IHuhSq3AJ5eI5OnqOPBNLWSHKh2a30DoXe8/edit?usp=sharing"",""สงขลา!J346"")"),0)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IFERROR(__xludf.DUMMYFUNCTION("IMPORTRANGE(""https://docs.google.com/spreadsheets/d/1IYY_tgx_IHuhSq3AJ5eI5OnqOPBNLWSHKh2a30DoXe8/edit?usp=sharing"",""สงขลา!I347"")"),0)</f>
        <v>0</v>
      </c>
      <c r="J452" s="194">
        <f ca="1">IFERROR(__xludf.DUMMYFUNCTION("IMPORTRANGE(""https://docs.google.com/spreadsheets/d/1IYY_tgx_IHuhSq3AJ5eI5OnqOPBNLWSHKh2a30DoXe8/edit?usp=sharing"",""สงขลา!J347"")"),0)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IFERROR(__xludf.DUMMYFUNCTION("IMPORTRANGE(""https://docs.google.com/spreadsheets/d/1IYY_tgx_IHuhSq3AJ5eI5OnqOPBNLWSHKh2a30DoXe8/edit?usp=sharing"",""สงขลา!J348"")"),0)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IFERROR(__xludf.DUMMYFUNCTION("IMPORTRANGE(""https://docs.google.com/spreadsheets/d/1IYY_tgx_IHuhSq3AJ5eI5OnqOPBNLWSHKh2a30DoXe8/edit?usp=sharing"",""สงขลา!J349"")"),0)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IFERROR(__xludf.DUMMYFUNCTION("IMPORTRANGE(""https://docs.google.com/spreadsheets/d/1IYY_tgx_IHuhSq3AJ5eI5OnqOPBNLWSHKh2a30DoXe8/edit?usp=sharing"",""สงขลา!I350"")"),27425)</f>
        <v>27425</v>
      </c>
      <c r="J455" s="377">
        <f ca="1">IFERROR(__xludf.DUMMYFUNCTION("IMPORTRANGE(""https://docs.google.com/spreadsheets/d/1IYY_tgx_IHuhSq3AJ5eI5OnqOPBNLWSHKh2a30DoXe8/edit?usp=sharing"",""สงขลา!J350"")"),27425)</f>
        <v>27425</v>
      </c>
      <c r="K455" s="378">
        <f ca="1">IF(I455&gt;0,J455*100/I455,0)</f>
        <v>100</v>
      </c>
      <c r="L455" s="379">
        <f ca="1">IFERROR(__xludf.DUMMYFUNCTION("IMPORTRANGE(""https://docs.google.com/spreadsheets/d/1IYY_tgx_IHuhSq3AJ5eI5OnqOPBNLWSHKh2a30DoXe8/edit?usp=sharing"",""สงขลา!L350"")"),189614)</f>
        <v>189614</v>
      </c>
      <c r="M455" s="379"/>
      <c r="N455" s="379">
        <f ca="1">IFERROR(__xludf.DUMMYFUNCTION("IMPORTRANGE(""https://docs.google.com/spreadsheets/d/1IYY_tgx_IHuhSq3AJ5eI5OnqOPBNLWSHKh2a30DoXe8/edit?usp=sharing"",""สงขลา!M350"")"),170895.2)</f>
        <v>170895.2</v>
      </c>
      <c r="O455" s="379">
        <f t="shared" ref="O455:O459" ca="1" si="116">+IF(L455&gt;0,N455*100/L455,0)</f>
        <v>90.127944139145839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IFERROR(__xludf.DUMMYFUNCTION("IMPORTRANGE(""https://docs.google.com/spreadsheets/d/1IYY_tgx_IHuhSq3AJ5eI5OnqOPBNLWSHKh2a30DoXe8/edit?usp=sharing"",""สงขลา!L351"")"),0)</f>
        <v>0</v>
      </c>
      <c r="M456" s="168"/>
      <c r="N456" s="175">
        <f ca="1">IFERROR(__xludf.DUMMYFUNCTION("IMPORTRANGE(""https://docs.google.com/spreadsheets/d/1IYY_tgx_IHuhSq3AJ5eI5OnqOPBNLWSHKh2a30DoXe8/edit?usp=sharing"",""สงขลา!M351"")"),0)</f>
        <v>0</v>
      </c>
      <c r="O456" s="175">
        <f t="shared" ca="1" si="116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IFERROR(__xludf.DUMMYFUNCTION("IMPORTRANGE(""https://docs.google.com/spreadsheets/d/1IYY_tgx_IHuhSq3AJ5eI5OnqOPBNLWSHKh2a30DoXe8/edit?usp=sharing"",""สงขลา!L352"")"),189614)</f>
        <v>189614</v>
      </c>
      <c r="M457" s="169"/>
      <c r="N457" s="175">
        <f ca="1">IFERROR(__xludf.DUMMYFUNCTION("IMPORTRANGE(""https://docs.google.com/spreadsheets/d/1IYY_tgx_IHuhSq3AJ5eI5OnqOPBNLWSHKh2a30DoXe8/edit?usp=sharing"",""สงขลา!M352"")"),170895.2)</f>
        <v>170895.2</v>
      </c>
      <c r="O457" s="175">
        <f t="shared" ca="1" si="116"/>
        <v>90.127944139145839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IFERROR(__xludf.DUMMYFUNCTION("IMPORTRANGE(""https://docs.google.com/spreadsheets/d/1IYY_tgx_IHuhSq3AJ5eI5OnqOPBNLWSHKh2a30DoXe8/edit?usp=sharing"",""สงขลา!L353"")"),0)</f>
        <v>0</v>
      </c>
      <c r="M458" s="175"/>
      <c r="N458" s="175">
        <f ca="1">IFERROR(__xludf.DUMMYFUNCTION("IMPORTRANGE(""https://docs.google.com/spreadsheets/d/1IYY_tgx_IHuhSq3AJ5eI5OnqOPBNLWSHKh2a30DoXe8/edit?usp=sharing"",""สงขลา!M353"")"),0)</f>
        <v>0</v>
      </c>
      <c r="O458" s="175">
        <f t="shared" ca="1" si="116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IFERROR(__xludf.DUMMYFUNCTION("IMPORTRANGE(""https://docs.google.com/spreadsheets/d/1IYY_tgx_IHuhSq3AJ5eI5OnqOPBNLWSHKh2a30DoXe8/edit?usp=sharing"",""สงขลา!L354"")"),189614)</f>
        <v>189614</v>
      </c>
      <c r="M459" s="175"/>
      <c r="N459" s="175">
        <f ca="1">IFERROR(__xludf.DUMMYFUNCTION("IMPORTRANGE(""https://docs.google.com/spreadsheets/d/1IYY_tgx_IHuhSq3AJ5eI5OnqOPBNLWSHKh2a30DoXe8/edit?usp=sharing"",""สงขลา!M354"")"),170895.2)</f>
        <v>170895.2</v>
      </c>
      <c r="O459" s="175">
        <f t="shared" ca="1" si="116"/>
        <v>90.127944139145839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IFERROR(__xludf.DUMMYFUNCTION("IMPORTRANGE(""https://docs.google.com/spreadsheets/d/1IYY_tgx_IHuhSq3AJ5eI5OnqOPBNLWSHKh2a30DoXe8/edit?usp=sharing"",""สงขลา!M355"")"),0)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IFERROR(__xludf.DUMMYFUNCTION("IMPORTRANGE(""https://docs.google.com/spreadsheets/d/1IYY_tgx_IHuhSq3AJ5eI5OnqOPBNLWSHKh2a30DoXe8/edit?usp=sharing"",""สงขลา!M356"")"),0)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IFERROR(__xludf.DUMMYFUNCTION("IMPORTRANGE(""https://docs.google.com/spreadsheets/d/1IYY_tgx_IHuhSq3AJ5eI5OnqOPBNLWSHKh2a30DoXe8/edit?usp=sharing"",""สงขลา!M357"")"),0)</f>
        <v>0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IFERROR(__xludf.DUMMYFUNCTION("IMPORTRANGE(""https://docs.google.com/spreadsheets/d/1IYY_tgx_IHuhSq3AJ5eI5OnqOPBNLWSHKh2a30DoXe8/edit?usp=sharing"",""สงขลา!M358"")"),170895.2)</f>
        <v>170895.2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IFERROR(__xludf.DUMMYFUNCTION("IMPORTRANGE(""https://docs.google.com/spreadsheets/d/1IYY_tgx_IHuhSq3AJ5eI5OnqOPBNLWSHKh2a30DoXe8/edit?usp=sharing"",""สงขลา!I359"")"),27425)</f>
        <v>27425</v>
      </c>
      <c r="J464" s="273">
        <f ca="1">IFERROR(__xludf.DUMMYFUNCTION("IMPORTRANGE(""https://docs.google.com/spreadsheets/d/1IYY_tgx_IHuhSq3AJ5eI5OnqOPBNLWSHKh2a30DoXe8/edit?usp=sharing"",""สงขลา!J359"")"),27425)</f>
        <v>27425</v>
      </c>
      <c r="K464" s="274">
        <f t="shared" ref="K464:K515" ca="1" si="117">IF(I464&gt;0,J464*100/I464,0)</f>
        <v>100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IFERROR(__xludf.DUMMYFUNCTION("IMPORTRANGE(""https://docs.google.com/spreadsheets/d/1IYY_tgx_IHuhSq3AJ5eI5OnqOPBNLWSHKh2a30DoXe8/edit?usp=sharing"",""สงขลา!I360"")"),27425)</f>
        <v>27425</v>
      </c>
      <c r="J465" s="426">
        <f ca="1">IFERROR(__xludf.DUMMYFUNCTION("IMPORTRANGE(""https://docs.google.com/spreadsheets/d/1IYY_tgx_IHuhSq3AJ5eI5OnqOPBNLWSHKh2a30DoXe8/edit?usp=sharing"",""สงขลา!J360"")"),28114)</f>
        <v>28114</v>
      </c>
      <c r="K465" s="208">
        <f t="shared" ca="1" si="117"/>
        <v>102.51230628988149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IFERROR(__xludf.DUMMYFUNCTION("IMPORTRANGE(""https://docs.google.com/spreadsheets/d/1IYY_tgx_IHuhSq3AJ5eI5OnqOPBNLWSHKh2a30DoXe8/edit?usp=sharing"",""สงขลา!I361"")"),3251)</f>
        <v>3251</v>
      </c>
      <c r="J466" s="426">
        <f ca="1">IFERROR(__xludf.DUMMYFUNCTION("IMPORTRANGE(""https://docs.google.com/spreadsheets/d/1IYY_tgx_IHuhSq3AJ5eI5OnqOPBNLWSHKh2a30DoXe8/edit?usp=sharing"",""สงขลา!J361"")"),3251)</f>
        <v>3251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IFERROR(__xludf.DUMMYFUNCTION("IMPORTRANGE(""https://docs.google.com/spreadsheets/d/1IYY_tgx_IHuhSq3AJ5eI5OnqOPBNLWSHKh2a30DoXe8/edit?usp=sharing"",""สงขลา!I362"")"),0)</f>
        <v>0</v>
      </c>
      <c r="J467" s="195">
        <f ca="1">IFERROR(__xludf.DUMMYFUNCTION("IMPORTRANGE(""https://docs.google.com/spreadsheets/d/1IYY_tgx_IHuhSq3AJ5eI5OnqOPBNLWSHKh2a30DoXe8/edit?usp=sharing"",""สงขลา!J362"")"),26216)</f>
        <v>26216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IFERROR(__xludf.DUMMYFUNCTION("IMPORTRANGE(""https://docs.google.com/spreadsheets/d/1IYY_tgx_IHuhSq3AJ5eI5OnqOPBNLWSHKh2a30DoXe8/edit?usp=sharing"",""สงขลา!I363"")"),0)</f>
        <v>0</v>
      </c>
      <c r="J468" s="195">
        <f ca="1">IFERROR(__xludf.DUMMYFUNCTION("IMPORTRANGE(""https://docs.google.com/spreadsheets/d/1IYY_tgx_IHuhSq3AJ5eI5OnqOPBNLWSHKh2a30DoXe8/edit?usp=sharing"",""สงขลา!J363"")"),3049)</f>
        <v>3049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IFERROR(__xludf.DUMMYFUNCTION("IMPORTRANGE(""https://docs.google.com/spreadsheets/d/1IYY_tgx_IHuhSq3AJ5eI5OnqOPBNLWSHKh2a30DoXe8/edit?usp=sharing"",""สงขลา!I364"")"),0)</f>
        <v>0</v>
      </c>
      <c r="J469" s="195">
        <f ca="1">IFERROR(__xludf.DUMMYFUNCTION("IMPORTRANGE(""https://docs.google.com/spreadsheets/d/1IYY_tgx_IHuhSq3AJ5eI5OnqOPBNLWSHKh2a30DoXe8/edit?usp=sharing"",""สงขลา!J364"")"),1181)</f>
        <v>1181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IFERROR(__xludf.DUMMYFUNCTION("IMPORTRANGE(""https://docs.google.com/spreadsheets/d/1IYY_tgx_IHuhSq3AJ5eI5OnqOPBNLWSHKh2a30DoXe8/edit?usp=sharing"",""สงขลา!I365"")"),0)</f>
        <v>0</v>
      </c>
      <c r="J470" s="195">
        <f ca="1">IFERROR(__xludf.DUMMYFUNCTION("IMPORTRANGE(""https://docs.google.com/spreadsheets/d/1IYY_tgx_IHuhSq3AJ5eI5OnqOPBNLWSHKh2a30DoXe8/edit?usp=sharing"",""สงขลา!J365"")"),132)</f>
        <v>132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IFERROR(__xludf.DUMMYFUNCTION("IMPORTRANGE(""https://docs.google.com/spreadsheets/d/1IYY_tgx_IHuhSq3AJ5eI5OnqOPBNLWSHKh2a30DoXe8/edit?usp=sharing"",""สงขลา!I366"")"),0)</f>
        <v>0</v>
      </c>
      <c r="J471" s="195">
        <f ca="1">IFERROR(__xludf.DUMMYFUNCTION("IMPORTRANGE(""https://docs.google.com/spreadsheets/d/1IYY_tgx_IHuhSq3AJ5eI5OnqOPBNLWSHKh2a30DoXe8/edit?usp=sharing"",""สงขลา!J366"")"),717)</f>
        <v>717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IFERROR(__xludf.DUMMYFUNCTION("IMPORTRANGE(""https://docs.google.com/spreadsheets/d/1IYY_tgx_IHuhSq3AJ5eI5OnqOPBNLWSHKh2a30DoXe8/edit?usp=sharing"",""สงขลา!I367"")"),0)</f>
        <v>0</v>
      </c>
      <c r="J472" s="195">
        <f ca="1">IFERROR(__xludf.DUMMYFUNCTION("IMPORTRANGE(""https://docs.google.com/spreadsheets/d/1IYY_tgx_IHuhSq3AJ5eI5OnqOPBNLWSHKh2a30DoXe8/edit?usp=sharing"",""สงขลา!J367"")"),70)</f>
        <v>70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IFERROR(__xludf.DUMMYFUNCTION("IMPORTRANGE(""https://docs.google.com/spreadsheets/d/1IYY_tgx_IHuhSq3AJ5eI5OnqOPBNLWSHKh2a30DoXe8/edit?usp=sharing"",""สงขลา!I368"")"),27425)</f>
        <v>27425</v>
      </c>
      <c r="J473" s="426">
        <f ca="1">IFERROR(__xludf.DUMMYFUNCTION("IMPORTRANGE(""https://docs.google.com/spreadsheets/d/1IYY_tgx_IHuhSq3AJ5eI5OnqOPBNLWSHKh2a30DoXe8/edit?usp=sharing"",""สงขลา!J368"")"),27426)</f>
        <v>27426</v>
      </c>
      <c r="K473" s="208">
        <f t="shared" ca="1" si="117"/>
        <v>100.00364630811303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IFERROR(__xludf.DUMMYFUNCTION("IMPORTRANGE(""https://docs.google.com/spreadsheets/d/1IYY_tgx_IHuhSq3AJ5eI5OnqOPBNLWSHKh2a30DoXe8/edit?usp=sharing"",""สงขลา!I369"")"),3251)</f>
        <v>3251</v>
      </c>
      <c r="J474" s="426">
        <f ca="1">IFERROR(__xludf.DUMMYFUNCTION("IMPORTRANGE(""https://docs.google.com/spreadsheets/d/1IYY_tgx_IHuhSq3AJ5eI5OnqOPBNLWSHKh2a30DoXe8/edit?usp=sharing"",""สงขลา!J369"")"),3251)</f>
        <v>3251</v>
      </c>
      <c r="K474" s="167">
        <f t="shared" ca="1" si="117"/>
        <v>100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IFERROR(__xludf.DUMMYFUNCTION("IMPORTRANGE(""https://docs.google.com/spreadsheets/d/1IYY_tgx_IHuhSq3AJ5eI5OnqOPBNLWSHKh2a30DoXe8/edit?usp=sharing"",""สงขลา!I370"")"),0)</f>
        <v>0</v>
      </c>
      <c r="J475" s="195">
        <f ca="1">IFERROR(__xludf.DUMMYFUNCTION("IMPORTRANGE(""https://docs.google.com/spreadsheets/d/1IYY_tgx_IHuhSq3AJ5eI5OnqOPBNLWSHKh2a30DoXe8/edit?usp=sharing"",""สงขลา!J370"")"),25991)</f>
        <v>25991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IFERROR(__xludf.DUMMYFUNCTION("IMPORTRANGE(""https://docs.google.com/spreadsheets/d/1IYY_tgx_IHuhSq3AJ5eI5OnqOPBNLWSHKh2a30DoXe8/edit?usp=sharing"",""สงขลา!I371"")"),0)</f>
        <v>0</v>
      </c>
      <c r="J476" s="195">
        <f ca="1">IFERROR(__xludf.DUMMYFUNCTION("IMPORTRANGE(""https://docs.google.com/spreadsheets/d/1IYY_tgx_IHuhSq3AJ5eI5OnqOPBNLWSHKh2a30DoXe8/edit?usp=sharing"",""สงขลา!J371"")"),3111)</f>
        <v>3111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IFERROR(__xludf.DUMMYFUNCTION("IMPORTRANGE(""https://docs.google.com/spreadsheets/d/1IYY_tgx_IHuhSq3AJ5eI5OnqOPBNLWSHKh2a30DoXe8/edit?usp=sharing"",""สงขลา!I372"")"),0)</f>
        <v>0</v>
      </c>
      <c r="J477" s="195">
        <f ca="1">IFERROR(__xludf.DUMMYFUNCTION("IMPORTRANGE(""https://docs.google.com/spreadsheets/d/1IYY_tgx_IHuhSq3AJ5eI5OnqOPBNLWSHKh2a30DoXe8/edit?usp=sharing"",""สงขลา!J372"")"),698)</f>
        <v>698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IFERROR(__xludf.DUMMYFUNCTION("IMPORTRANGE(""https://docs.google.com/spreadsheets/d/1IYY_tgx_IHuhSq3AJ5eI5OnqOPBNLWSHKh2a30DoXe8/edit?usp=sharing"",""สงขลา!I373"")"),0)</f>
        <v>0</v>
      </c>
      <c r="J478" s="195">
        <f ca="1">IFERROR(__xludf.DUMMYFUNCTION("IMPORTRANGE(""https://docs.google.com/spreadsheets/d/1IYY_tgx_IHuhSq3AJ5eI5OnqOPBNLWSHKh2a30DoXe8/edit?usp=sharing"",""สงขลา!J373"")"),67)</f>
        <v>67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IFERROR(__xludf.DUMMYFUNCTION("IMPORTRANGE(""https://docs.google.com/spreadsheets/d/1IYY_tgx_IHuhSq3AJ5eI5OnqOPBNLWSHKh2a30DoXe8/edit?usp=sharing"",""สงขลา!I374"")"),0)</f>
        <v>0</v>
      </c>
      <c r="J479" s="195">
        <f ca="1">IFERROR(__xludf.DUMMYFUNCTION("IMPORTRANGE(""https://docs.google.com/spreadsheets/d/1IYY_tgx_IHuhSq3AJ5eI5OnqOPBNLWSHKh2a30DoXe8/edit?usp=sharing"",""สงขลา!J374"")"),737)</f>
        <v>737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IFERROR(__xludf.DUMMYFUNCTION("IMPORTRANGE(""https://docs.google.com/spreadsheets/d/1IYY_tgx_IHuhSq3AJ5eI5OnqOPBNLWSHKh2a30DoXe8/edit?usp=sharing"",""สงขลา!I375"")"),0)</f>
        <v>0</v>
      </c>
      <c r="J480" s="195">
        <f ca="1">IFERROR(__xludf.DUMMYFUNCTION("IMPORTRANGE(""https://docs.google.com/spreadsheets/d/1IYY_tgx_IHuhSq3AJ5eI5OnqOPBNLWSHKh2a30DoXe8/edit?usp=sharing"",""สงขลา!J375"")"),73)</f>
        <v>73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IFERROR(__xludf.DUMMYFUNCTION("IMPORTRANGE(""https://docs.google.com/spreadsheets/d/1IYY_tgx_IHuhSq3AJ5eI5OnqOPBNLWSHKh2a30DoXe8/edit?usp=sharing"",""สงขลา!I376"")"),27425)</f>
        <v>27425</v>
      </c>
      <c r="J481" s="426">
        <f ca="1">IFERROR(__xludf.DUMMYFUNCTION("IMPORTRANGE(""https://docs.google.com/spreadsheets/d/1IYY_tgx_IHuhSq3AJ5eI5OnqOPBNLWSHKh2a30DoXe8/edit?usp=sharing"",""สงขลา!J376"")"),27425)</f>
        <v>27425</v>
      </c>
      <c r="K481" s="208">
        <f t="shared" ca="1" si="117"/>
        <v>100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IFERROR(__xludf.DUMMYFUNCTION("IMPORTRANGE(""https://docs.google.com/spreadsheets/d/1IYY_tgx_IHuhSq3AJ5eI5OnqOPBNLWSHKh2a30DoXe8/edit?usp=sharing"",""สงขลา!I377"")"),3251)</f>
        <v>3251</v>
      </c>
      <c r="J482" s="426">
        <f ca="1">IFERROR(__xludf.DUMMYFUNCTION("IMPORTRANGE(""https://docs.google.com/spreadsheets/d/1IYY_tgx_IHuhSq3AJ5eI5OnqOPBNLWSHKh2a30DoXe8/edit?usp=sharing"",""สงขลา!J377"")"),3251)</f>
        <v>3251</v>
      </c>
      <c r="K482" s="167">
        <f t="shared" ca="1" si="117"/>
        <v>100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IFERROR(__xludf.DUMMYFUNCTION("IMPORTRANGE(""https://docs.google.com/spreadsheets/d/1IYY_tgx_IHuhSq3AJ5eI5OnqOPBNLWSHKh2a30DoXe8/edit?usp=sharing"",""สงขลา!I378"")"),0)</f>
        <v>0</v>
      </c>
      <c r="J483" s="195">
        <f ca="1">IFERROR(__xludf.DUMMYFUNCTION("IMPORTRANGE(""https://docs.google.com/spreadsheets/d/1IYY_tgx_IHuhSq3AJ5eI5OnqOPBNLWSHKh2a30DoXe8/edit?usp=sharing"",""สงขลา!J378"")"),26259)</f>
        <v>26259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IFERROR(__xludf.DUMMYFUNCTION("IMPORTRANGE(""https://docs.google.com/spreadsheets/d/1IYY_tgx_IHuhSq3AJ5eI5OnqOPBNLWSHKh2a30DoXe8/edit?usp=sharing"",""สงขลา!I379"")"),0)</f>
        <v>0</v>
      </c>
      <c r="J484" s="195">
        <f ca="1">IFERROR(__xludf.DUMMYFUNCTION("IMPORTRANGE(""https://docs.google.com/spreadsheets/d/1IYY_tgx_IHuhSq3AJ5eI5OnqOPBNLWSHKh2a30DoXe8/edit?usp=sharing"",""สงขลา!J379"")"),3129)</f>
        <v>3129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IFERROR(__xludf.DUMMYFUNCTION("IMPORTRANGE(""https://docs.google.com/spreadsheets/d/1IYY_tgx_IHuhSq3AJ5eI5OnqOPBNLWSHKh2a30DoXe8/edit?usp=sharing"",""สงขลา!I380"")"),0)</f>
        <v>0</v>
      </c>
      <c r="J485" s="195">
        <f ca="1">IFERROR(__xludf.DUMMYFUNCTION("IMPORTRANGE(""https://docs.google.com/spreadsheets/d/1IYY_tgx_IHuhSq3AJ5eI5OnqOPBNLWSHKh2a30DoXe8/edit?usp=sharing"",""สงขลา!J380"")"),0)</f>
        <v>0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IFERROR(__xludf.DUMMYFUNCTION("IMPORTRANGE(""https://docs.google.com/spreadsheets/d/1IYY_tgx_IHuhSq3AJ5eI5OnqOPBNLWSHKh2a30DoXe8/edit?usp=sharing"",""สงขลา!I381"")"),0)</f>
        <v>0</v>
      </c>
      <c r="J486" s="195">
        <f ca="1">IFERROR(__xludf.DUMMYFUNCTION("IMPORTRANGE(""https://docs.google.com/spreadsheets/d/1IYY_tgx_IHuhSq3AJ5eI5OnqOPBNLWSHKh2a30DoXe8/edit?usp=sharing"",""สงขลา!J381"")"),0)</f>
        <v>0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IFERROR(__xludf.DUMMYFUNCTION("IMPORTRANGE(""https://docs.google.com/spreadsheets/d/1IYY_tgx_IHuhSq3AJ5eI5OnqOPBNLWSHKh2a30DoXe8/edit?usp=sharing"",""สงขลา!I382"")"),0)</f>
        <v>0</v>
      </c>
      <c r="J487" s="426">
        <f ca="1">IFERROR(__xludf.DUMMYFUNCTION("IMPORTRANGE(""https://docs.google.com/spreadsheets/d/1IYY_tgx_IHuhSq3AJ5eI5OnqOPBNLWSHKh2a30DoXe8/edit?usp=sharing"",""สงขลา!J382"")"),752)</f>
        <v>752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IFERROR(__xludf.DUMMYFUNCTION("IMPORTRANGE(""https://docs.google.com/spreadsheets/d/1IYY_tgx_IHuhSq3AJ5eI5OnqOPBNLWSHKh2a30DoXe8/edit?usp=sharing"",""สงขลา!I383"")"),0)</f>
        <v>0</v>
      </c>
      <c r="J488" s="426">
        <f ca="1">IFERROR(__xludf.DUMMYFUNCTION("IMPORTRANGE(""https://docs.google.com/spreadsheets/d/1IYY_tgx_IHuhSq3AJ5eI5OnqOPBNLWSHKh2a30DoXe8/edit?usp=sharing"",""สงขลา!J383"")"),75)</f>
        <v>75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IFERROR(__xludf.DUMMYFUNCTION("IMPORTRANGE(""https://docs.google.com/spreadsheets/d/1IYY_tgx_IHuhSq3AJ5eI5OnqOPBNLWSHKh2a30DoXe8/edit?usp=sharing"",""สงขลา!I384"")"),0)</f>
        <v>0</v>
      </c>
      <c r="J489" s="195">
        <f ca="1">IFERROR(__xludf.DUMMYFUNCTION("IMPORTRANGE(""https://docs.google.com/spreadsheets/d/1IYY_tgx_IHuhSq3AJ5eI5OnqOPBNLWSHKh2a30DoXe8/edit?usp=sharing"",""สงขลา!J384"")"),752)</f>
        <v>752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IFERROR(__xludf.DUMMYFUNCTION("IMPORTRANGE(""https://docs.google.com/spreadsheets/d/1IYY_tgx_IHuhSq3AJ5eI5OnqOPBNLWSHKh2a30DoXe8/edit?usp=sharing"",""สงขลา!I385"")"),0)</f>
        <v>0</v>
      </c>
      <c r="J490" s="195">
        <f ca="1">IFERROR(__xludf.DUMMYFUNCTION("IMPORTRANGE(""https://docs.google.com/spreadsheets/d/1IYY_tgx_IHuhSq3AJ5eI5OnqOPBNLWSHKh2a30DoXe8/edit?usp=sharing"",""สงขลา!J385"")"),75)</f>
        <v>75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IFERROR(__xludf.DUMMYFUNCTION("IMPORTRANGE(""https://docs.google.com/spreadsheets/d/1IYY_tgx_IHuhSq3AJ5eI5OnqOPBNLWSHKh2a30DoXe8/edit?usp=sharing"",""สงขลา!I386"")"),0)</f>
        <v>0</v>
      </c>
      <c r="J491" s="195">
        <f ca="1">IFERROR(__xludf.DUMMYFUNCTION("IMPORTRANGE(""https://docs.google.com/spreadsheets/d/1IYY_tgx_IHuhSq3AJ5eI5OnqOPBNLWSHKh2a30DoXe8/edit?usp=sharing"",""สงขลา!J386"")"),0)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IFERROR(__xludf.DUMMYFUNCTION("IMPORTRANGE(""https://docs.google.com/spreadsheets/d/1IYY_tgx_IHuhSq3AJ5eI5OnqOPBNLWSHKh2a30DoXe8/edit?usp=sharing"",""สงขลา!I387"")"),0)</f>
        <v>0</v>
      </c>
      <c r="J492" s="195">
        <f ca="1">IFERROR(__xludf.DUMMYFUNCTION("IMPORTRANGE(""https://docs.google.com/spreadsheets/d/1IYY_tgx_IHuhSq3AJ5eI5OnqOPBNLWSHKh2a30DoXe8/edit?usp=sharing"",""สงขลา!J387"")"),0)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IFERROR(__xludf.DUMMYFUNCTION("IMPORTRANGE(""https://docs.google.com/spreadsheets/d/1IYY_tgx_IHuhSq3AJ5eI5OnqOPBNLWSHKh2a30DoXe8/edit?usp=sharing"",""สงขลา!I388"")"),0)</f>
        <v>0</v>
      </c>
      <c r="J493" s="195">
        <f ca="1">IFERROR(__xludf.DUMMYFUNCTION("IMPORTRANGE(""https://docs.google.com/spreadsheets/d/1IYY_tgx_IHuhSq3AJ5eI5OnqOPBNLWSHKh2a30DoXe8/edit?usp=sharing"",""สงขลา!J388"")"),414)</f>
        <v>414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IFERROR(__xludf.DUMMYFUNCTION("IMPORTRANGE(""https://docs.google.com/spreadsheets/d/1IYY_tgx_IHuhSq3AJ5eI5OnqOPBNLWSHKh2a30DoXe8/edit?usp=sharing"",""สงขลา!I389"")"),0)</f>
        <v>0</v>
      </c>
      <c r="J494" s="442">
        <f ca="1">IFERROR(__xludf.DUMMYFUNCTION("IMPORTRANGE(""https://docs.google.com/spreadsheets/d/1IYY_tgx_IHuhSq3AJ5eI5OnqOPBNLWSHKh2a30DoXe8/edit?usp=sharing"",""สงขลา!J389"")"),47)</f>
        <v>47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IFERROR(__xludf.DUMMYFUNCTION("IMPORTRANGE(""https://docs.google.com/spreadsheets/d/1IYY_tgx_IHuhSq3AJ5eI5OnqOPBNLWSHKh2a30DoXe8/edit?usp=sharing"",""สงขลา!I390"")"),0)</f>
        <v>0</v>
      </c>
      <c r="J495" s="442">
        <f ca="1">IFERROR(__xludf.DUMMYFUNCTION("IMPORTRANGE(""https://docs.google.com/spreadsheets/d/1IYY_tgx_IHuhSq3AJ5eI5OnqOPBNLWSHKh2a30DoXe8/edit?usp=sharing"",""สงขลา!J390"")"),0)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IFERROR(__xludf.DUMMYFUNCTION("IMPORTRANGE(""https://docs.google.com/spreadsheets/d/1IYY_tgx_IHuhSq3AJ5eI5OnqOPBNLWSHKh2a30DoXe8/edit?usp=sharing"",""สงขลา!I391"")"),0)</f>
        <v>0</v>
      </c>
      <c r="J496" s="442">
        <f ca="1">IFERROR(__xludf.DUMMYFUNCTION("IMPORTRANGE(""https://docs.google.com/spreadsheets/d/1IYY_tgx_IHuhSq3AJ5eI5OnqOPBNLWSHKh2a30DoXe8/edit?usp=sharing"",""สงขลา!J391"")"),0)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IFERROR(__xludf.DUMMYFUNCTION("IMPORTRANGE(""https://docs.google.com/spreadsheets/d/1IYY_tgx_IHuhSq3AJ5eI5OnqOPBNLWSHKh2a30DoXe8/edit?usp=sharing"",""สงขลา!I392"")"),292)</f>
        <v>292</v>
      </c>
      <c r="J497" s="449">
        <f ca="1">IFERROR(__xludf.DUMMYFUNCTION("IMPORTRANGE(""https://docs.google.com/spreadsheets/d/1IYY_tgx_IHuhSq3AJ5eI5OnqOPBNLWSHKh2a30DoXe8/edit?usp=sharing"",""สงขลา!J392"")"),293)</f>
        <v>293</v>
      </c>
      <c r="K497" s="450">
        <f t="shared" ca="1" si="117"/>
        <v>100.34246575342466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IFERROR(__xludf.DUMMYFUNCTION("IMPORTRANGE(""https://docs.google.com/spreadsheets/d/1IYY_tgx_IHuhSq3AJ5eI5OnqOPBNLWSHKh2a30DoXe8/edit?usp=sharing"",""สงขลา!I393"")"),292)</f>
        <v>292</v>
      </c>
      <c r="J498" s="426">
        <f ca="1">IFERROR(__xludf.DUMMYFUNCTION("IMPORTRANGE(""https://docs.google.com/spreadsheets/d/1IYY_tgx_IHuhSq3AJ5eI5OnqOPBNLWSHKh2a30DoXe8/edit?usp=sharing"",""สงขลา!J393"")"),293)</f>
        <v>293</v>
      </c>
      <c r="K498" s="208">
        <f t="shared" ca="1" si="117"/>
        <v>100.34246575342466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IFERROR(__xludf.DUMMYFUNCTION("IMPORTRANGE(""https://docs.google.com/spreadsheets/d/1IYY_tgx_IHuhSq3AJ5eI5OnqOPBNLWSHKh2a30DoXe8/edit?usp=sharing"",""สงขลา!I394"")"),26)</f>
        <v>26</v>
      </c>
      <c r="J499" s="426">
        <f ca="1">IFERROR(__xludf.DUMMYFUNCTION("IMPORTRANGE(""https://docs.google.com/spreadsheets/d/1IYY_tgx_IHuhSq3AJ5eI5OnqOPBNLWSHKh2a30DoXe8/edit?usp=sharing"",""สงขลา!J394"")"),26)</f>
        <v>26</v>
      </c>
      <c r="K499" s="208">
        <f t="shared" ca="1" si="117"/>
        <v>100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IFERROR(__xludf.DUMMYFUNCTION("IMPORTRANGE(""https://docs.google.com/spreadsheets/d/1IYY_tgx_IHuhSq3AJ5eI5OnqOPBNLWSHKh2a30DoXe8/edit?usp=sharing"",""สงขลา!I395"")"),0)</f>
        <v>0</v>
      </c>
      <c r="J500" s="166">
        <f ca="1">IFERROR(__xludf.DUMMYFUNCTION("IMPORTRANGE(""https://docs.google.com/spreadsheets/d/1IYY_tgx_IHuhSq3AJ5eI5OnqOPBNLWSHKh2a30DoXe8/edit?usp=sharing"",""สงขลา!J395"")"),246)</f>
        <v>246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IFERROR(__xludf.DUMMYFUNCTION("IMPORTRANGE(""https://docs.google.com/spreadsheets/d/1IYY_tgx_IHuhSq3AJ5eI5OnqOPBNLWSHKh2a30DoXe8/edit?usp=sharing"",""สงขลา!I396"")"),0)</f>
        <v>0</v>
      </c>
      <c r="J501" s="166">
        <f ca="1">IFERROR(__xludf.DUMMYFUNCTION("IMPORTRANGE(""https://docs.google.com/spreadsheets/d/1IYY_tgx_IHuhSq3AJ5eI5OnqOPBNLWSHKh2a30DoXe8/edit?usp=sharing"",""สงขลา!J396"")"),20)</f>
        <v>20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IFERROR(__xludf.DUMMYFUNCTION("IMPORTRANGE(""https://docs.google.com/spreadsheets/d/1IYY_tgx_IHuhSq3AJ5eI5OnqOPBNLWSHKh2a30DoXe8/edit?usp=sharing"",""สงขลา!I397"")"),0)</f>
        <v>0</v>
      </c>
      <c r="J502" s="195">
        <f ca="1">IFERROR(__xludf.DUMMYFUNCTION("IMPORTRANGE(""https://docs.google.com/spreadsheets/d/1IYY_tgx_IHuhSq3AJ5eI5OnqOPBNLWSHKh2a30DoXe8/edit?usp=sharing"",""สงขลา!J397"")"),197)</f>
        <v>197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IFERROR(__xludf.DUMMYFUNCTION("IMPORTRANGE(""https://docs.google.com/spreadsheets/d/1IYY_tgx_IHuhSq3AJ5eI5OnqOPBNLWSHKh2a30DoXe8/edit?usp=sharing"",""สงขลา!I398"")"),0)</f>
        <v>0</v>
      </c>
      <c r="J503" s="204">
        <f ca="1">IFERROR(__xludf.DUMMYFUNCTION("IMPORTRANGE(""https://docs.google.com/spreadsheets/d/1IYY_tgx_IHuhSq3AJ5eI5OnqOPBNLWSHKh2a30DoXe8/edit?usp=sharing"",""สงขลา!J398"")"),14)</f>
        <v>14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IFERROR(__xludf.DUMMYFUNCTION("IMPORTRANGE(""https://docs.google.com/spreadsheets/d/1IYY_tgx_IHuhSq3AJ5eI5OnqOPBNLWSHKh2a30DoXe8/edit?usp=sharing"",""สงขลา!I399"")"),0)</f>
        <v>0</v>
      </c>
      <c r="J504" s="195">
        <f ca="1">IFERROR(__xludf.DUMMYFUNCTION("IMPORTRANGE(""https://docs.google.com/spreadsheets/d/1IYY_tgx_IHuhSq3AJ5eI5OnqOPBNLWSHKh2a30DoXe8/edit?usp=sharing"",""สงขลา!J399"")"),0)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IFERROR(__xludf.DUMMYFUNCTION("IMPORTRANGE(""https://docs.google.com/spreadsheets/d/1IYY_tgx_IHuhSq3AJ5eI5OnqOPBNLWSHKh2a30DoXe8/edit?usp=sharing"",""สงขลา!I400"")"),0)</f>
        <v>0</v>
      </c>
      <c r="J505" s="204">
        <f ca="1">IFERROR(__xludf.DUMMYFUNCTION("IMPORTRANGE(""https://docs.google.com/spreadsheets/d/1IYY_tgx_IHuhSq3AJ5eI5OnqOPBNLWSHKh2a30DoXe8/edit?usp=sharing"",""สงขลา!J400"")"),0)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IFERROR(__xludf.DUMMYFUNCTION("IMPORTRANGE(""https://docs.google.com/spreadsheets/d/1IYY_tgx_IHuhSq3AJ5eI5OnqOPBNLWSHKh2a30DoXe8/edit?usp=sharing"",""สงขลา!I401"")"),0)</f>
        <v>0</v>
      </c>
      <c r="J506" s="195">
        <f ca="1">IFERROR(__xludf.DUMMYFUNCTION("IMPORTRANGE(""https://docs.google.com/spreadsheets/d/1IYY_tgx_IHuhSq3AJ5eI5OnqOPBNLWSHKh2a30DoXe8/edit?usp=sharing"",""สงขลา!J401"")"),49)</f>
        <v>49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IFERROR(__xludf.DUMMYFUNCTION("IMPORTRANGE(""https://docs.google.com/spreadsheets/d/1IYY_tgx_IHuhSq3AJ5eI5OnqOPBNLWSHKh2a30DoXe8/edit?usp=sharing"",""สงขลา!I402"")"),0)</f>
        <v>0</v>
      </c>
      <c r="J507" s="204">
        <f ca="1">IFERROR(__xludf.DUMMYFUNCTION("IMPORTRANGE(""https://docs.google.com/spreadsheets/d/1IYY_tgx_IHuhSq3AJ5eI5OnqOPBNLWSHKh2a30DoXe8/edit?usp=sharing"",""สงขลา!J402"")"),6)</f>
        <v>6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IFERROR(__xludf.DUMMYFUNCTION("IMPORTRANGE(""https://docs.google.com/spreadsheets/d/1IYY_tgx_IHuhSq3AJ5eI5OnqOPBNLWSHKh2a30DoXe8/edit?usp=sharing"",""สงขลา!I403"")"),0)</f>
        <v>0</v>
      </c>
      <c r="J508" s="166">
        <f ca="1">IFERROR(__xludf.DUMMYFUNCTION("IMPORTRANGE(""https://docs.google.com/spreadsheets/d/1IYY_tgx_IHuhSq3AJ5eI5OnqOPBNLWSHKh2a30DoXe8/edit?usp=sharing"",""สงขลา!J403"")"),47)</f>
        <v>47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IFERROR(__xludf.DUMMYFUNCTION("IMPORTRANGE(""https://docs.google.com/spreadsheets/d/1IYY_tgx_IHuhSq3AJ5eI5OnqOPBNLWSHKh2a30DoXe8/edit?usp=sharing"",""สงขลา!I404"")"),0)</f>
        <v>0</v>
      </c>
      <c r="J509" s="166">
        <f ca="1">IFERROR(__xludf.DUMMYFUNCTION("IMPORTRANGE(""https://docs.google.com/spreadsheets/d/1IYY_tgx_IHuhSq3AJ5eI5OnqOPBNLWSHKh2a30DoXe8/edit?usp=sharing"",""สงขลา!J404"")"),6)</f>
        <v>6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IFERROR(__xludf.DUMMYFUNCTION("IMPORTRANGE(""https://docs.google.com/spreadsheets/d/1IYY_tgx_IHuhSq3AJ5eI5OnqOPBNLWSHKh2a30DoXe8/edit?usp=sharing"",""สงขลา!I405"")"),0)</f>
        <v>0</v>
      </c>
      <c r="J510" s="204">
        <f ca="1">IFERROR(__xludf.DUMMYFUNCTION("IMPORTRANGE(""https://docs.google.com/spreadsheets/d/1IYY_tgx_IHuhSq3AJ5eI5OnqOPBNLWSHKh2a30DoXe8/edit?usp=sharing"",""สงขลา!J405"")"),47)</f>
        <v>47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IFERROR(__xludf.DUMMYFUNCTION("IMPORTRANGE(""https://docs.google.com/spreadsheets/d/1IYY_tgx_IHuhSq3AJ5eI5OnqOPBNLWSHKh2a30DoXe8/edit?usp=sharing"",""สงขลา!I406"")"),0)</f>
        <v>0</v>
      </c>
      <c r="J511" s="204">
        <f ca="1">IFERROR(__xludf.DUMMYFUNCTION("IMPORTRANGE(""https://docs.google.com/spreadsheets/d/1IYY_tgx_IHuhSq3AJ5eI5OnqOPBNLWSHKh2a30DoXe8/edit?usp=sharing"",""สงขลา!J406"")"),6)</f>
        <v>6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IFERROR(__xludf.DUMMYFUNCTION("IMPORTRANGE(""https://docs.google.com/spreadsheets/d/1IYY_tgx_IHuhSq3AJ5eI5OnqOPBNLWSHKh2a30DoXe8/edit?usp=sharing"",""สงขลา!I407"")"),0)</f>
        <v>0</v>
      </c>
      <c r="J512" s="204">
        <f ca="1">IFERROR(__xludf.DUMMYFUNCTION("IMPORTRANGE(""https://docs.google.com/spreadsheets/d/1IYY_tgx_IHuhSq3AJ5eI5OnqOPBNLWSHKh2a30DoXe8/edit?usp=sharing"",""สงขลา!J407"")"),0)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IFERROR(__xludf.DUMMYFUNCTION("IMPORTRANGE(""https://docs.google.com/spreadsheets/d/1IYY_tgx_IHuhSq3AJ5eI5OnqOPBNLWSHKh2a30DoXe8/edit?usp=sharing"",""สงขลา!I408"")"),0)</f>
        <v>0</v>
      </c>
      <c r="J513" s="204">
        <f ca="1">IFERROR(__xludf.DUMMYFUNCTION("IMPORTRANGE(""https://docs.google.com/spreadsheets/d/1IYY_tgx_IHuhSq3AJ5eI5OnqOPBNLWSHKh2a30DoXe8/edit?usp=sharing"",""สงขลา!J408"")"),0)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IFERROR(__xludf.DUMMYFUNCTION("IMPORTRANGE(""https://docs.google.com/spreadsheets/d/1IYY_tgx_IHuhSq3AJ5eI5OnqOPBNLWSHKh2a30DoXe8/edit?usp=sharing"",""สงขลา!I409"")"),0)</f>
        <v>0</v>
      </c>
      <c r="J514" s="204">
        <f ca="1">IFERROR(__xludf.DUMMYFUNCTION("IMPORTRANGE(""https://docs.google.com/spreadsheets/d/1IYY_tgx_IHuhSq3AJ5eI5OnqOPBNLWSHKh2a30DoXe8/edit?usp=sharing"",""สงขลา!J409"")"),0)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IFERROR(__xludf.DUMMYFUNCTION("IMPORTRANGE(""https://docs.google.com/spreadsheets/d/1IYY_tgx_IHuhSq3AJ5eI5OnqOPBNLWSHKh2a30DoXe8/edit?usp=sharing"",""สงขลา!I410"")"),0)</f>
        <v>0</v>
      </c>
      <c r="J515" s="204">
        <f ca="1">IFERROR(__xludf.DUMMYFUNCTION("IMPORTRANGE(""https://docs.google.com/spreadsheets/d/1IYY_tgx_IHuhSq3AJ5eI5OnqOPBNLWSHKh2a30DoXe8/edit?usp=sharing"",""สงขลา!J410"")"),0)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IFERROR(__xludf.DUMMYFUNCTION("IMPORTRANGE(""https://docs.google.com/spreadsheets/d/1IYY_tgx_IHuhSq3AJ5eI5OnqOPBNLWSHKh2a30DoXe8/edit?usp=sharing"",""สงขลา!I411"")"),0)</f>
        <v>0</v>
      </c>
      <c r="J516" s="273">
        <f ca="1">IFERROR(__xludf.DUMMYFUNCTION("IMPORTRANGE(""https://docs.google.com/spreadsheets/d/1IYY_tgx_IHuhSq3AJ5eI5OnqOPBNLWSHKh2a30DoXe8/edit?usp=sharing"",""สงขลา!J411"")"),0)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IFERROR(__xludf.DUMMYFUNCTION("IMPORTRANGE(""https://docs.google.com/spreadsheets/d/1IYY_tgx_IHuhSq3AJ5eI5OnqOPBNLWSHKh2a30DoXe8/edit?usp=sharing"",""สงขลา!I412"")"),0)</f>
        <v>0</v>
      </c>
      <c r="J517" s="290">
        <f ca="1">IFERROR(__xludf.DUMMYFUNCTION("IMPORTRANGE(""https://docs.google.com/spreadsheets/d/1IYY_tgx_IHuhSq3AJ5eI5OnqOPBNLWSHKh2a30DoXe8/edit?usp=sharing"",""สงขลา!J412"")"),0)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IFERROR(__xludf.DUMMYFUNCTION("IMPORTRANGE(""https://docs.google.com/spreadsheets/d/1IYY_tgx_IHuhSq3AJ5eI5OnqOPBNLWSHKh2a30DoXe8/edit?usp=sharing"",""สงขลา!I413"")"),0)</f>
        <v>0</v>
      </c>
      <c r="J518" s="290">
        <f ca="1">IFERROR(__xludf.DUMMYFUNCTION("IMPORTRANGE(""https://docs.google.com/spreadsheets/d/1IYY_tgx_IHuhSq3AJ5eI5OnqOPBNLWSHKh2a30DoXe8/edit?usp=sharing"",""สงขลา!J413"")"),0)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IFERROR(__xludf.DUMMYFUNCTION("IMPORTRANGE(""https://docs.google.com/spreadsheets/d/1IYY_tgx_IHuhSq3AJ5eI5OnqOPBNLWSHKh2a30DoXe8/edit?usp=sharing"",""สงขลา!I414"")"),0)</f>
        <v>0</v>
      </c>
      <c r="J519" s="194">
        <f ca="1">IFERROR(__xludf.DUMMYFUNCTION("IMPORTRANGE(""https://docs.google.com/spreadsheets/d/1IYY_tgx_IHuhSq3AJ5eI5OnqOPBNLWSHKh2a30DoXe8/edit?usp=sharing"",""สงขลา!J414"")"),0)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IFERROR(__xludf.DUMMYFUNCTION("IMPORTRANGE(""https://docs.google.com/spreadsheets/d/1IYY_tgx_IHuhSq3AJ5eI5OnqOPBNLWSHKh2a30DoXe8/edit?usp=sharing"",""สงขลา!I415"")"),0)</f>
        <v>0</v>
      </c>
      <c r="J520" s="194">
        <f ca="1">IFERROR(__xludf.DUMMYFUNCTION("IMPORTRANGE(""https://docs.google.com/spreadsheets/d/1IYY_tgx_IHuhSq3AJ5eI5OnqOPBNLWSHKh2a30DoXe8/edit?usp=sharing"",""สงขลา!J415"")"),0)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IFERROR(__xludf.DUMMYFUNCTION("IMPORTRANGE(""https://docs.google.com/spreadsheets/d/1IYY_tgx_IHuhSq3AJ5eI5OnqOPBNLWSHKh2a30DoXe8/edit?usp=sharing"",""สงขลา!I416"")"),0)</f>
        <v>0</v>
      </c>
      <c r="J521" s="194">
        <f ca="1">IFERROR(__xludf.DUMMYFUNCTION("IMPORTRANGE(""https://docs.google.com/spreadsheets/d/1IYY_tgx_IHuhSq3AJ5eI5OnqOPBNLWSHKh2a30DoXe8/edit?usp=sharing"",""สงขลา!J416"")"),0)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IFERROR(__xludf.DUMMYFUNCTION("IMPORTRANGE(""https://docs.google.com/spreadsheets/d/1IYY_tgx_IHuhSq3AJ5eI5OnqOPBNLWSHKh2a30DoXe8/edit?usp=sharing"",""สงขลา!I417"")"),0)</f>
        <v>0</v>
      </c>
      <c r="J522" s="194">
        <f ca="1">IFERROR(__xludf.DUMMYFUNCTION("IMPORTRANGE(""https://docs.google.com/spreadsheets/d/1IYY_tgx_IHuhSq3AJ5eI5OnqOPBNLWSHKh2a30DoXe8/edit?usp=sharing"",""สงขลา!J417"")"),0)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IFERROR(__xludf.DUMMYFUNCTION("IMPORTRANGE(""https://docs.google.com/spreadsheets/d/1IYY_tgx_IHuhSq3AJ5eI5OnqOPBNLWSHKh2a30DoXe8/edit?usp=sharing"",""สงขลา!I418"")"),0)</f>
        <v>0</v>
      </c>
      <c r="J523" s="194">
        <f ca="1">IFERROR(__xludf.DUMMYFUNCTION("IMPORTRANGE(""https://docs.google.com/spreadsheets/d/1IYY_tgx_IHuhSq3AJ5eI5OnqOPBNLWSHKh2a30DoXe8/edit?usp=sharing"",""สงขลา!J418"")"),0)</f>
        <v>0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IFERROR(__xludf.DUMMYFUNCTION("IMPORTRANGE(""https://docs.google.com/spreadsheets/d/1IYY_tgx_IHuhSq3AJ5eI5OnqOPBNLWSHKh2a30DoXe8/edit?usp=sharing"",""สงขลา!I419"")"),0)</f>
        <v>0</v>
      </c>
      <c r="J524" s="194">
        <f ca="1">IFERROR(__xludf.DUMMYFUNCTION("IMPORTRANGE(""https://docs.google.com/spreadsheets/d/1IYY_tgx_IHuhSq3AJ5eI5OnqOPBNLWSHKh2a30DoXe8/edit?usp=sharing"",""สงขลา!J419"")"),0)</f>
        <v>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IFERROR(__xludf.DUMMYFUNCTION("IMPORTRANGE(""https://docs.google.com/spreadsheets/d/1IYY_tgx_IHuhSq3AJ5eI5OnqOPBNLWSHKh2a30DoXe8/edit?usp=sharing"",""สงขลา!I420"")"),0)</f>
        <v>0</v>
      </c>
      <c r="J525" s="290">
        <f ca="1">IFERROR(__xludf.DUMMYFUNCTION("IMPORTRANGE(""https://docs.google.com/spreadsheets/d/1IYY_tgx_IHuhSq3AJ5eI5OnqOPBNLWSHKh2a30DoXe8/edit?usp=sharing"",""สงขลา!J420"")"),0)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IFERROR(__xludf.DUMMYFUNCTION("IMPORTRANGE(""https://docs.google.com/spreadsheets/d/1IYY_tgx_IHuhSq3AJ5eI5OnqOPBNLWSHKh2a30DoXe8/edit?usp=sharing"",""สงขลา!I421"")"),0)</f>
        <v>0</v>
      </c>
      <c r="J526" s="290">
        <f ca="1">IFERROR(__xludf.DUMMYFUNCTION("IMPORTRANGE(""https://docs.google.com/spreadsheets/d/1IYY_tgx_IHuhSq3AJ5eI5OnqOPBNLWSHKh2a30DoXe8/edit?usp=sharing"",""สงขลา!J421"")"),0)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IFERROR(__xludf.DUMMYFUNCTION("IMPORTRANGE(""https://docs.google.com/spreadsheets/d/1IYY_tgx_IHuhSq3AJ5eI5OnqOPBNLWSHKh2a30DoXe8/edit?usp=sharing"",""สงขลา!I422"")"),0)</f>
        <v>0</v>
      </c>
      <c r="J527" s="204">
        <f ca="1">IFERROR(__xludf.DUMMYFUNCTION("IMPORTRANGE(""https://docs.google.com/spreadsheets/d/1IYY_tgx_IHuhSq3AJ5eI5OnqOPBNLWSHKh2a30DoXe8/edit?usp=sharing"",""สงขลา!J422"")"),0)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IFERROR(__xludf.DUMMYFUNCTION("IMPORTRANGE(""https://docs.google.com/spreadsheets/d/1IYY_tgx_IHuhSq3AJ5eI5OnqOPBNLWSHKh2a30DoXe8/edit?usp=sharing"",""สงขลา!I423"")"),0)</f>
        <v>0</v>
      </c>
      <c r="J528" s="204">
        <f ca="1">IFERROR(__xludf.DUMMYFUNCTION("IMPORTRANGE(""https://docs.google.com/spreadsheets/d/1IYY_tgx_IHuhSq3AJ5eI5OnqOPBNLWSHKh2a30DoXe8/edit?usp=sharing"",""สงขลา!J423"")"),0)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IFERROR(__xludf.DUMMYFUNCTION("IMPORTRANGE(""https://docs.google.com/spreadsheets/d/1IYY_tgx_IHuhSq3AJ5eI5OnqOPBNLWSHKh2a30DoXe8/edit?usp=sharing"",""สงขลา!I424"")"),0)</f>
        <v>0</v>
      </c>
      <c r="J529" s="204">
        <f ca="1">IFERROR(__xludf.DUMMYFUNCTION("IMPORTRANGE(""https://docs.google.com/spreadsheets/d/1IYY_tgx_IHuhSq3AJ5eI5OnqOPBNLWSHKh2a30DoXe8/edit?usp=sharing"",""สงขลา!J424"")"),0)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IFERROR(__xludf.DUMMYFUNCTION("IMPORTRANGE(""https://docs.google.com/spreadsheets/d/1IYY_tgx_IHuhSq3AJ5eI5OnqOPBNLWSHKh2a30DoXe8/edit?usp=sharing"",""สงขลา!I425"")"),0)</f>
        <v>0</v>
      </c>
      <c r="J530" s="204">
        <f ca="1">IFERROR(__xludf.DUMMYFUNCTION("IMPORTRANGE(""https://docs.google.com/spreadsheets/d/1IYY_tgx_IHuhSq3AJ5eI5OnqOPBNLWSHKh2a30DoXe8/edit?usp=sharing"",""สงขลา!J425"")"),0)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IFERROR(__xludf.DUMMYFUNCTION("IMPORTRANGE(""https://docs.google.com/spreadsheets/d/1IYY_tgx_IHuhSq3AJ5eI5OnqOPBNLWSHKh2a30DoXe8/edit?usp=sharing"",""สงขลา!I426"")"),0)</f>
        <v>0</v>
      </c>
      <c r="J531" s="204">
        <f ca="1">IFERROR(__xludf.DUMMYFUNCTION("IMPORTRANGE(""https://docs.google.com/spreadsheets/d/1IYY_tgx_IHuhSq3AJ5eI5OnqOPBNLWSHKh2a30DoXe8/edit?usp=sharing"",""สงขลา!J426"")"),0)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IFERROR(__xludf.DUMMYFUNCTION("IMPORTRANGE(""https://docs.google.com/spreadsheets/d/1IYY_tgx_IHuhSq3AJ5eI5OnqOPBNLWSHKh2a30DoXe8/edit?usp=sharing"",""สงขลา!I427"")"),0)</f>
        <v>0</v>
      </c>
      <c r="J532" s="472">
        <f ca="1">IFERROR(__xludf.DUMMYFUNCTION("IMPORTRANGE(""https://docs.google.com/spreadsheets/d/1IYY_tgx_IHuhSq3AJ5eI5OnqOPBNLWSHKh2a30DoXe8/edit?usp=sharing"",""สงขลา!J427"")"),0)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IFERROR(__xludf.DUMMYFUNCTION("IMPORTRANGE(""https://docs.google.com/spreadsheets/d/1IYY_tgx_IHuhSq3AJ5eI5OnqOPBNLWSHKh2a30DoXe8/edit?usp=sharing"",""สงขลา!I428"")"),20)</f>
        <v>20</v>
      </c>
      <c r="J533" s="416">
        <f ca="1">IFERROR(__xludf.DUMMYFUNCTION("IMPORTRANGE(""https://docs.google.com/spreadsheets/d/1IYY_tgx_IHuhSq3AJ5eI5OnqOPBNLWSHKh2a30DoXe8/edit?usp=sharing"",""สงขลา!J428"")"),20)</f>
        <v>20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IFERROR(__xludf.DUMMYFUNCTION("IMPORTRANGE(""https://docs.google.com/spreadsheets/d/1IYY_tgx_IHuhSq3AJ5eI5OnqOPBNLWSHKh2a30DoXe8/edit?usp=sharing"",""สงขลา!L428"")"),32640)</f>
        <v>32640</v>
      </c>
      <c r="M533" s="418"/>
      <c r="N533" s="418">
        <f ca="1">IFERROR(__xludf.DUMMYFUNCTION("IMPORTRANGE(""https://docs.google.com/spreadsheets/d/1IYY_tgx_IHuhSq3AJ5eI5OnqOPBNLWSHKh2a30DoXe8/edit?usp=sharing"",""สงขลา!M428"")"),27090)</f>
        <v>27090</v>
      </c>
      <c r="O533" s="418">
        <f t="shared" ref="O533:O537" ca="1" si="118">+IF(L533&gt;0,N533*100/L533,0)</f>
        <v>82.996323529411768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IFERROR(__xludf.DUMMYFUNCTION("IMPORTRANGE(""https://docs.google.com/spreadsheets/d/1IYY_tgx_IHuhSq3AJ5eI5OnqOPBNLWSHKh2a30DoXe8/edit?usp=sharing"",""สงขลา!L429"")"),0)</f>
        <v>0</v>
      </c>
      <c r="M534" s="168"/>
      <c r="N534" s="175">
        <f ca="1">IFERROR(__xludf.DUMMYFUNCTION("IMPORTRANGE(""https://docs.google.com/spreadsheets/d/1IYY_tgx_IHuhSq3AJ5eI5OnqOPBNLWSHKh2a30DoXe8/edit?usp=sharing"",""สงขลา!M429"")"),0)</f>
        <v>0</v>
      </c>
      <c r="O534" s="175">
        <f t="shared" ca="1" si="118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IFERROR(__xludf.DUMMYFUNCTION("IMPORTRANGE(""https://docs.google.com/spreadsheets/d/1IYY_tgx_IHuhSq3AJ5eI5OnqOPBNLWSHKh2a30DoXe8/edit?usp=sharing"",""สงขลา!L430"")"),32640)</f>
        <v>32640</v>
      </c>
      <c r="M535" s="169"/>
      <c r="N535" s="175">
        <f ca="1">IFERROR(__xludf.DUMMYFUNCTION("IMPORTRANGE(""https://docs.google.com/spreadsheets/d/1IYY_tgx_IHuhSq3AJ5eI5OnqOPBNLWSHKh2a30DoXe8/edit?usp=sharing"",""สงขลา!M430"")"),27090)</f>
        <v>27090</v>
      </c>
      <c r="O535" s="175">
        <f t="shared" ca="1" si="118"/>
        <v>82.996323529411768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IFERROR(__xludf.DUMMYFUNCTION("IMPORTRANGE(""https://docs.google.com/spreadsheets/d/1IYY_tgx_IHuhSq3AJ5eI5OnqOPBNLWSHKh2a30DoXe8/edit?usp=sharing"",""สงขลา!L431"")"),0)</f>
        <v>0</v>
      </c>
      <c r="M536" s="175"/>
      <c r="N536" s="175">
        <f ca="1">IFERROR(__xludf.DUMMYFUNCTION("IMPORTRANGE(""https://docs.google.com/spreadsheets/d/1IYY_tgx_IHuhSq3AJ5eI5OnqOPBNLWSHKh2a30DoXe8/edit?usp=sharing"",""สงขลา!M431"")"),0)</f>
        <v>0</v>
      </c>
      <c r="O536" s="175">
        <f t="shared" ca="1" si="118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IFERROR(__xludf.DUMMYFUNCTION("IMPORTRANGE(""https://docs.google.com/spreadsheets/d/1IYY_tgx_IHuhSq3AJ5eI5OnqOPBNLWSHKh2a30DoXe8/edit?usp=sharing"",""สงขลา!L432"")"),32640)</f>
        <v>32640</v>
      </c>
      <c r="M537" s="175"/>
      <c r="N537" s="175">
        <f ca="1">IFERROR(__xludf.DUMMYFUNCTION("IMPORTRANGE(""https://docs.google.com/spreadsheets/d/1IYY_tgx_IHuhSq3AJ5eI5OnqOPBNLWSHKh2a30DoXe8/edit?usp=sharing"",""สงขลา!M432"")"),27090)</f>
        <v>27090</v>
      </c>
      <c r="O537" s="175">
        <f t="shared" ca="1" si="118"/>
        <v>82.996323529411768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IFERROR(__xludf.DUMMYFUNCTION("IMPORTRANGE(""https://docs.google.com/spreadsheets/d/1IYY_tgx_IHuhSq3AJ5eI5OnqOPBNLWSHKh2a30DoXe8/edit?usp=sharing"",""สงขลา!M433"")"),15665)</f>
        <v>15665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IFERROR(__xludf.DUMMYFUNCTION("IMPORTRANGE(""https://docs.google.com/spreadsheets/d/1IYY_tgx_IHuhSq3AJ5eI5OnqOPBNLWSHKh2a30DoXe8/edit?usp=sharing"",""สงขลา!M434"")"),0)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IFERROR(__xludf.DUMMYFUNCTION("IMPORTRANGE(""https://docs.google.com/spreadsheets/d/1IYY_tgx_IHuhSq3AJ5eI5OnqOPBNLWSHKh2a30DoXe8/edit?usp=sharing"",""สงขลา!M435"")"),0)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IFERROR(__xludf.DUMMYFUNCTION("IMPORTRANGE(""https://docs.google.com/spreadsheets/d/1IYY_tgx_IHuhSq3AJ5eI5OnqOPBNLWSHKh2a30DoXe8/edit?usp=sharing"",""สงขลา!M436"")"),11425)</f>
        <v>11425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IFERROR(__xludf.DUMMYFUNCTION("IMPORTRANGE(""https://docs.google.com/spreadsheets/d/1IYY_tgx_IHuhSq3AJ5eI5OnqOPBNLWSHKh2a30DoXe8/edit?usp=sharing"",""สงขลา!J438"")"),0)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IFERROR(__xludf.DUMMYFUNCTION("IMPORTRANGE(""https://docs.google.com/spreadsheets/d/1IYY_tgx_IHuhSq3AJ5eI5OnqOPBNLWSHKh2a30DoXe8/edit?usp=sharing"",""สงขลา!J439"")"),1)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IFERROR(__xludf.DUMMYFUNCTION("IMPORTRANGE(""https://docs.google.com/spreadsheets/d/1IYY_tgx_IHuhSq3AJ5eI5OnqOPBNLWSHKh2a30DoXe8/edit?usp=sharing"",""สงขลา!J440"")"),1)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IFERROR(__xludf.DUMMYFUNCTION("IMPORTRANGE(""https://docs.google.com/spreadsheets/d/1IYY_tgx_IHuhSq3AJ5eI5OnqOPBNLWSHKh2a30DoXe8/edit?usp=sharing"",""สงขลา!J441"")"),1)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IFERROR(__xludf.DUMMYFUNCTION("IMPORTRANGE(""https://docs.google.com/spreadsheets/d/1IYY_tgx_IHuhSq3AJ5eI5OnqOPBNLWSHKh2a30DoXe8/edit?usp=sharing"",""สงขลา!I442"")"),20)</f>
        <v>20</v>
      </c>
      <c r="J547" s="195">
        <f ca="1">IFERROR(__xludf.DUMMYFUNCTION("IMPORTRANGE(""https://docs.google.com/spreadsheets/d/1IYY_tgx_IHuhSq3AJ5eI5OnqOPBNLWSHKh2a30DoXe8/edit?usp=sharing"",""สงขลา!J442"")"),20)</f>
        <v>20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IFERROR(__xludf.DUMMYFUNCTION("IMPORTRANGE(""https://docs.google.com/spreadsheets/d/1IYY_tgx_IHuhSq3AJ5eI5OnqOPBNLWSHKh2a30DoXe8/edit?usp=sharing"",""สงขลา!J166"")"),0)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IFERROR(__xludf.DUMMYFUNCTION("IMPORTRANGE(""https://docs.google.com/spreadsheets/d/1IYY_tgx_IHuhSq3AJ5eI5OnqOPBNLWSHKh2a30DoXe8/edit?usp=sharing"",""สงขลา!J444"")"),0)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IFERROR(__xludf.DUMMYFUNCTION("IMPORTRANGE(""https://docs.google.com/spreadsheets/d/1IYY_tgx_IHuhSq3AJ5eI5OnqOPBNLWSHKh2a30DoXe8/edit?usp=sharing"",""สงขลา!J445"")"),0)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IFERROR(__xludf.DUMMYFUNCTION("IMPORTRANGE(""https://docs.google.com/spreadsheets/d/1IYY_tgx_IHuhSq3AJ5eI5OnqOPBNLWSHKh2a30DoXe8/edit?usp=sharing"",""สงขลา!I446"")"),0)</f>
        <v>0</v>
      </c>
      <c r="J551" s="416">
        <f ca="1">IFERROR(__xludf.DUMMYFUNCTION("IMPORTRANGE(""https://docs.google.com/spreadsheets/d/1IYY_tgx_IHuhSq3AJ5eI5OnqOPBNLWSHKh2a30DoXe8/edit?usp=sharing"",""สงขลา!J446"")"),0)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IFERROR(__xludf.DUMMYFUNCTION("IMPORTRANGE(""https://docs.google.com/spreadsheets/d/1IYY_tgx_IHuhSq3AJ5eI5OnqOPBNLWSHKh2a30DoXe8/edit?usp=sharing"",""สงขลา!L446"")"),0)</f>
        <v>0</v>
      </c>
      <c r="M551" s="418"/>
      <c r="N551" s="418">
        <f ca="1">IFERROR(__xludf.DUMMYFUNCTION("IMPORTRANGE(""https://docs.google.com/spreadsheets/d/1IYY_tgx_IHuhSq3AJ5eI5OnqOPBNLWSHKh2a30DoXe8/edit?usp=sharing"",""สงขลา!M446"")"),0)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IFERROR(__xludf.DUMMYFUNCTION("IMPORTRANGE(""https://docs.google.com/spreadsheets/d/1IYY_tgx_IHuhSq3AJ5eI5OnqOPBNLWSHKh2a30DoXe8/edit?usp=sharing"",""สงขลา!L447"")"),0)</f>
        <v>0</v>
      </c>
      <c r="M552" s="168"/>
      <c r="N552" s="175">
        <f ca="1">IFERROR(__xludf.DUMMYFUNCTION("IMPORTRANGE(""https://docs.google.com/spreadsheets/d/1IYY_tgx_IHuhSq3AJ5eI5OnqOPBNLWSHKh2a30DoXe8/edit?usp=sharing"",""สงขลา!M447"")"),0)</f>
        <v>0</v>
      </c>
      <c r="O552" s="175">
        <f t="shared" ca="1" si="120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IFERROR(__xludf.DUMMYFUNCTION("IMPORTRANGE(""https://docs.google.com/spreadsheets/d/1IYY_tgx_IHuhSq3AJ5eI5OnqOPBNLWSHKh2a30DoXe8/edit?usp=sharing"",""สงขลา!L448"")"),0)</f>
        <v>0</v>
      </c>
      <c r="M553" s="169"/>
      <c r="N553" s="175">
        <f ca="1">IFERROR(__xludf.DUMMYFUNCTION("IMPORTRANGE(""https://docs.google.com/spreadsheets/d/1IYY_tgx_IHuhSq3AJ5eI5OnqOPBNLWSHKh2a30DoXe8/edit?usp=sharing"",""สงขลา!M448"")"),0)</f>
        <v>0</v>
      </c>
      <c r="O553" s="175">
        <f t="shared" ca="1" si="120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IFERROR(__xludf.DUMMYFUNCTION("IMPORTRANGE(""https://docs.google.com/spreadsheets/d/1IYY_tgx_IHuhSq3AJ5eI5OnqOPBNLWSHKh2a30DoXe8/edit?usp=sharing"",""สงขลา!L449"")"),0)</f>
        <v>0</v>
      </c>
      <c r="M554" s="175"/>
      <c r="N554" s="175">
        <f ca="1">IFERROR(__xludf.DUMMYFUNCTION("IMPORTRANGE(""https://docs.google.com/spreadsheets/d/1IYY_tgx_IHuhSq3AJ5eI5OnqOPBNLWSHKh2a30DoXe8/edit?usp=sharing"",""สงขลา!M449"")"),0)</f>
        <v>0</v>
      </c>
      <c r="O554" s="175">
        <f t="shared" ca="1" si="120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IFERROR(__xludf.DUMMYFUNCTION("IMPORTRANGE(""https://docs.google.com/spreadsheets/d/1IYY_tgx_IHuhSq3AJ5eI5OnqOPBNLWSHKh2a30DoXe8/edit?usp=sharing"",""สงขลา!L450"")"),0)</f>
        <v>0</v>
      </c>
      <c r="M555" s="175"/>
      <c r="N555" s="175">
        <f ca="1">IFERROR(__xludf.DUMMYFUNCTION("IMPORTRANGE(""https://docs.google.com/spreadsheets/d/1IYY_tgx_IHuhSq3AJ5eI5OnqOPBNLWSHKh2a30DoXe8/edit?usp=sharing"",""สงขลา!M450"")"),0)</f>
        <v>0</v>
      </c>
      <c r="O555" s="175">
        <f t="shared" ca="1" si="120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IFERROR(__xludf.DUMMYFUNCTION("IMPORTRANGE(""https://docs.google.com/spreadsheets/d/1IYY_tgx_IHuhSq3AJ5eI5OnqOPBNLWSHKh2a30DoXe8/edit?usp=sharing"",""สงขลา!M451"")"),0)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IFERROR(__xludf.DUMMYFUNCTION("IMPORTRANGE(""https://docs.google.com/spreadsheets/d/1IYY_tgx_IHuhSq3AJ5eI5OnqOPBNLWSHKh2a30DoXe8/edit?usp=sharing"",""สงขลา!M452"")"),0)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IFERROR(__xludf.DUMMYFUNCTION("IMPORTRANGE(""https://docs.google.com/spreadsheets/d/1IYY_tgx_IHuhSq3AJ5eI5OnqOPBNLWSHKh2a30DoXe8/edit?usp=sharing"",""สงขลา!M453"")"),0)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IFERROR(__xludf.DUMMYFUNCTION("IMPORTRANGE(""https://docs.google.com/spreadsheets/d/1IYY_tgx_IHuhSq3AJ5eI5OnqOPBNLWSHKh2a30DoXe8/edit?usp=sharing"",""สงขลา!M454"")"),0)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IFERROR(__xludf.DUMMYFUNCTION("IMPORTRANGE(""https://docs.google.com/spreadsheets/d/1IYY_tgx_IHuhSq3AJ5eI5OnqOPBNLWSHKh2a30DoXe8/edit?usp=sharing"",""สงขลา!I455"")"),0)</f>
        <v>0</v>
      </c>
      <c r="J560" s="166">
        <f ca="1">IFERROR(__xludf.DUMMYFUNCTION("IMPORTRANGE(""https://docs.google.com/spreadsheets/d/1IYY_tgx_IHuhSq3AJ5eI5OnqOPBNLWSHKh2a30DoXe8/edit?usp=sharing"",""สงขลา!J455"")"),0)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IFERROR(__xludf.DUMMYFUNCTION("IMPORTRANGE(""https://docs.google.com/spreadsheets/d/1IYY_tgx_IHuhSq3AJ5eI5OnqOPBNLWSHKh2a30DoXe8/edit?usp=sharing"",""สงขลา!I456"")"),0)</f>
        <v>0</v>
      </c>
      <c r="J561" s="210">
        <f ca="1">IFERROR(__xludf.DUMMYFUNCTION("IMPORTRANGE(""https://docs.google.com/spreadsheets/d/1IYY_tgx_IHuhSq3AJ5eI5OnqOPBNLWSHKh2a30DoXe8/edit?usp=sharing"",""สงขลา!J456"")"),0)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IFERROR(__xludf.DUMMYFUNCTION("IMPORTRANGE(""https://docs.google.com/spreadsheets/d/1IYY_tgx_IHuhSq3AJ5eI5OnqOPBNLWSHKh2a30DoXe8/edit?usp=sharing"",""สงขลา!I459"")"),1100)</f>
        <v>1100</v>
      </c>
      <c r="J564" s="377">
        <f ca="1">IFERROR(__xludf.DUMMYFUNCTION("IMPORTRANGE(""https://docs.google.com/spreadsheets/d/1IYY_tgx_IHuhSq3AJ5eI5OnqOPBNLWSHKh2a30DoXe8/edit?usp=sharing"",""สงขลา!J459"")"),2299)</f>
        <v>2299</v>
      </c>
      <c r="K564" s="378">
        <f ca="1">IF(I564&gt;0,J564*100/I564,0)</f>
        <v>209</v>
      </c>
      <c r="L564" s="379">
        <f ca="1">IFERROR(__xludf.DUMMYFUNCTION("IMPORTRANGE(""https://docs.google.com/spreadsheets/d/1IYY_tgx_IHuhSq3AJ5eI5OnqOPBNLWSHKh2a30DoXe8/edit?usp=sharing"",""สงขลา!L459"")"),123600)</f>
        <v>123600</v>
      </c>
      <c r="M564" s="379"/>
      <c r="N564" s="379">
        <f ca="1">IFERROR(__xludf.DUMMYFUNCTION("IMPORTRANGE(""https://docs.google.com/spreadsheets/d/1IYY_tgx_IHuhSq3AJ5eI5OnqOPBNLWSHKh2a30DoXe8/edit?usp=sharing"",""สงขลา!M459"")"),121115)</f>
        <v>121115</v>
      </c>
      <c r="O564" s="379">
        <f t="shared" ref="O564:O568" ca="1" si="122">+IF(L564&gt;0,N564*100/L564,0)</f>
        <v>97.989482200647245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IFERROR(__xludf.DUMMYFUNCTION("IMPORTRANGE(""https://docs.google.com/spreadsheets/d/1IYY_tgx_IHuhSq3AJ5eI5OnqOPBNLWSHKh2a30DoXe8/edit?usp=sharing"",""สงขลา!L460"")"),0)</f>
        <v>0</v>
      </c>
      <c r="M565" s="168"/>
      <c r="N565" s="175">
        <f ca="1">IFERROR(__xludf.DUMMYFUNCTION("IMPORTRANGE(""https://docs.google.com/spreadsheets/d/1IYY_tgx_IHuhSq3AJ5eI5OnqOPBNLWSHKh2a30DoXe8/edit?usp=sharing"",""สงขลา!M460"")"),0)</f>
        <v>0</v>
      </c>
      <c r="O565" s="175">
        <f t="shared" ca="1" si="122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IFERROR(__xludf.DUMMYFUNCTION("IMPORTRANGE(""https://docs.google.com/spreadsheets/d/1IYY_tgx_IHuhSq3AJ5eI5OnqOPBNLWSHKh2a30DoXe8/edit?usp=sharing"",""สงขลา!L461"")"),123600)</f>
        <v>123600</v>
      </c>
      <c r="M566" s="169"/>
      <c r="N566" s="175">
        <f ca="1">IFERROR(__xludf.DUMMYFUNCTION("IMPORTRANGE(""https://docs.google.com/spreadsheets/d/1IYY_tgx_IHuhSq3AJ5eI5OnqOPBNLWSHKh2a30DoXe8/edit?usp=sharing"",""สงขลา!M461"")"),121115)</f>
        <v>121115</v>
      </c>
      <c r="O566" s="175">
        <f t="shared" ca="1" si="122"/>
        <v>97.989482200647245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IFERROR(__xludf.DUMMYFUNCTION("IMPORTRANGE(""https://docs.google.com/spreadsheets/d/1IYY_tgx_IHuhSq3AJ5eI5OnqOPBNLWSHKh2a30DoXe8/edit?usp=sharing"",""สงขลา!L462"")"),0)</f>
        <v>0</v>
      </c>
      <c r="M567" s="175"/>
      <c r="N567" s="175">
        <f ca="1">IFERROR(__xludf.DUMMYFUNCTION("IMPORTRANGE(""https://docs.google.com/spreadsheets/d/1IYY_tgx_IHuhSq3AJ5eI5OnqOPBNLWSHKh2a30DoXe8/edit?usp=sharing"",""สงขลา!M462"")"),0)</f>
        <v>0</v>
      </c>
      <c r="O567" s="175">
        <f t="shared" ca="1" si="122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IFERROR(__xludf.DUMMYFUNCTION("IMPORTRANGE(""https://docs.google.com/spreadsheets/d/1IYY_tgx_IHuhSq3AJ5eI5OnqOPBNLWSHKh2a30DoXe8/edit?usp=sharing"",""สงขลา!L463"")"),123600)</f>
        <v>123600</v>
      </c>
      <c r="M568" s="175"/>
      <c r="N568" s="175">
        <f ca="1">IFERROR(__xludf.DUMMYFUNCTION("IMPORTRANGE(""https://docs.google.com/spreadsheets/d/1IYY_tgx_IHuhSq3AJ5eI5OnqOPBNLWSHKh2a30DoXe8/edit?usp=sharing"",""สงขลา!M463"")"),121115)</f>
        <v>121115</v>
      </c>
      <c r="O568" s="175">
        <f t="shared" ca="1" si="122"/>
        <v>97.989482200647245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IFERROR(__xludf.DUMMYFUNCTION("IMPORTRANGE(""https://docs.google.com/spreadsheets/d/1IYY_tgx_IHuhSq3AJ5eI5OnqOPBNLWSHKh2a30DoXe8/edit?usp=sharing"",""สงขลา!M464"")"),0)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IFERROR(__xludf.DUMMYFUNCTION("IMPORTRANGE(""https://docs.google.com/spreadsheets/d/1IYY_tgx_IHuhSq3AJ5eI5OnqOPBNLWSHKh2a30DoXe8/edit?usp=sharing"",""สงขลา!M465"")"),0)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IFERROR(__xludf.DUMMYFUNCTION("IMPORTRANGE(""https://docs.google.com/spreadsheets/d/1IYY_tgx_IHuhSq3AJ5eI5OnqOPBNLWSHKh2a30DoXe8/edit?usp=sharing"",""สงขลา!M466"")"),96515)</f>
        <v>96515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IFERROR(__xludf.DUMMYFUNCTION("IMPORTRANGE(""https://docs.google.com/spreadsheets/d/1IYY_tgx_IHuhSq3AJ5eI5OnqOPBNLWSHKh2a30DoXe8/edit?usp=sharing"",""สงขลา!M467"")"),24600)</f>
        <v>24600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IFERROR(__xludf.DUMMYFUNCTION("IMPORTRANGE(""https://docs.google.com/spreadsheets/d/1IYY_tgx_IHuhSq3AJ5eI5OnqOPBNLWSHKh2a30DoXe8/edit?usp=sharing"",""สงขลา!I468"")"),1100)</f>
        <v>1100</v>
      </c>
      <c r="J573" s="426">
        <f ca="1">IFERROR(__xludf.DUMMYFUNCTION("IMPORTRANGE(""https://docs.google.com/spreadsheets/d/1IYY_tgx_IHuhSq3AJ5eI5OnqOPBNLWSHKh2a30DoXe8/edit?usp=sharing"",""สงขลา!J468"")"),2299)</f>
        <v>2299</v>
      </c>
      <c r="K573" s="208">
        <f ca="1">IF(I573&gt;0,J573*100/I573,0)</f>
        <v>209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IFERROR(__xludf.DUMMYFUNCTION("IMPORTRANGE(""https://docs.google.com/spreadsheets/d/1IYY_tgx_IHuhSq3AJ5eI5OnqOPBNLWSHKh2a30DoXe8/edit?usp=sharing"",""สงขลา!I470"")"),0)</f>
        <v>0</v>
      </c>
      <c r="J575" s="204">
        <f ca="1">IFERROR(__xludf.DUMMYFUNCTION("IMPORTRANGE(""https://docs.google.com/spreadsheets/d/1IYY_tgx_IHuhSq3AJ5eI5OnqOPBNLWSHKh2a30DoXe8/edit?usp=sharing"",""สงขลา!J470"")"),4)</f>
        <v>4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IFERROR(__xludf.DUMMYFUNCTION("IMPORTRANGE(""https://docs.google.com/spreadsheets/d/1IYY_tgx_IHuhSq3AJ5eI5OnqOPBNLWSHKh2a30DoXe8/edit?usp=sharing"",""สงขลา!I471"")"),0)</f>
        <v>0</v>
      </c>
      <c r="J576" s="204">
        <f ca="1">IFERROR(__xludf.DUMMYFUNCTION("IMPORTRANGE(""https://docs.google.com/spreadsheets/d/1IYY_tgx_IHuhSq3AJ5eI5OnqOPBNLWSHKh2a30DoXe8/edit?usp=sharing"",""สงขลา!J471"")"),137)</f>
        <v>137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IFERROR(__xludf.DUMMYFUNCTION("IMPORTRANGE(""https://docs.google.com/spreadsheets/d/1IYY_tgx_IHuhSq3AJ5eI5OnqOPBNLWSHKh2a30DoXe8/edit?usp=sharing"",""สงขลา!I472"")"),0)</f>
        <v>0</v>
      </c>
      <c r="J577" s="195">
        <f ca="1">IFERROR(__xludf.DUMMYFUNCTION("IMPORTRANGE(""https://docs.google.com/spreadsheets/d/1IYY_tgx_IHuhSq3AJ5eI5OnqOPBNLWSHKh2a30DoXe8/edit?usp=sharing"",""สงขลา!J472"")"),2149)</f>
        <v>2149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IFERROR(__xludf.DUMMYFUNCTION("IMPORTRANGE(""https://docs.google.com/spreadsheets/d/1IYY_tgx_IHuhSq3AJ5eI5OnqOPBNLWSHKh2a30DoXe8/edit?usp=sharing"",""สงขลา!I473"")"),0)</f>
        <v>0</v>
      </c>
      <c r="J578" s="204">
        <f ca="1">IFERROR(__xludf.DUMMYFUNCTION("IMPORTRANGE(""https://docs.google.com/spreadsheets/d/1IYY_tgx_IHuhSq3AJ5eI5OnqOPBNLWSHKh2a30DoXe8/edit?usp=sharing"",""สงขลา!J473"")"),13)</f>
        <v>13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IFERROR(__xludf.DUMMYFUNCTION("IMPORTRANGE(""https://docs.google.com/spreadsheets/d/1IYY_tgx_IHuhSq3AJ5eI5OnqOPBNLWSHKh2a30DoXe8/edit?usp=sharing"",""สงขลา!I474"")"),0)</f>
        <v>0</v>
      </c>
      <c r="J579" s="204">
        <f ca="1">IFERROR(__xludf.DUMMYFUNCTION("IMPORTRANGE(""https://docs.google.com/spreadsheets/d/1IYY_tgx_IHuhSq3AJ5eI5OnqOPBNLWSHKh2a30DoXe8/edit?usp=sharing"",""สงขลา!J474"")"),0)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IFERROR(__xludf.DUMMYFUNCTION("IMPORTRANGE(""https://docs.google.com/spreadsheets/d/1IYY_tgx_IHuhSq3AJ5eI5OnqOPBNLWSHKh2a30DoXe8/edit?usp=sharing"",""สงขลา!I475"")"),220)</f>
        <v>220</v>
      </c>
      <c r="J580" s="377">
        <f ca="1">IFERROR(__xludf.DUMMYFUNCTION("IMPORTRANGE(""https://docs.google.com/spreadsheets/d/1IYY_tgx_IHuhSq3AJ5eI5OnqOPBNLWSHKh2a30DoXe8/edit?usp=sharing"",""สงขลา!J475"")"),105)</f>
        <v>105</v>
      </c>
      <c r="K580" s="378">
        <f ca="1">IF(I580&gt;0,J580*100/I580,0)</f>
        <v>47.727272727272727</v>
      </c>
      <c r="L580" s="379">
        <f ca="1">IFERROR(__xludf.DUMMYFUNCTION("IMPORTRANGE(""https://docs.google.com/spreadsheets/d/1IYY_tgx_IHuhSq3AJ5eI5OnqOPBNLWSHKh2a30DoXe8/edit?usp=sharing"",""สงขลา!L475"")"),376620)</f>
        <v>376620</v>
      </c>
      <c r="M580" s="379"/>
      <c r="N580" s="379">
        <f ca="1">IFERROR(__xludf.DUMMYFUNCTION("IMPORTRANGE(""https://docs.google.com/spreadsheets/d/1IYY_tgx_IHuhSq3AJ5eI5OnqOPBNLWSHKh2a30DoXe8/edit?usp=sharing"",""สงขลา!M475"")"),294670)</f>
        <v>294670</v>
      </c>
      <c r="O580" s="379">
        <f t="shared" ref="O580:O584" ca="1" si="124">+IF(L580&gt;0,N580*100/L580,0)</f>
        <v>78.240666985290218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IFERROR(__xludf.DUMMYFUNCTION("IMPORTRANGE(""https://docs.google.com/spreadsheets/d/1IYY_tgx_IHuhSq3AJ5eI5OnqOPBNLWSHKh2a30DoXe8/edit?usp=sharing"",""สงขลา!L476"")"),0)</f>
        <v>0</v>
      </c>
      <c r="M581" s="168"/>
      <c r="N581" s="175">
        <f ca="1">IFERROR(__xludf.DUMMYFUNCTION("IMPORTRANGE(""https://docs.google.com/spreadsheets/d/1IYY_tgx_IHuhSq3AJ5eI5OnqOPBNLWSHKh2a30DoXe8/edit?usp=sharing"",""สงขลา!M476"")"),0)</f>
        <v>0</v>
      </c>
      <c r="O581" s="175">
        <f t="shared" ca="1" si="124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IFERROR(__xludf.DUMMYFUNCTION("IMPORTRANGE(""https://docs.google.com/spreadsheets/d/1IYY_tgx_IHuhSq3AJ5eI5OnqOPBNLWSHKh2a30DoXe8/edit?usp=sharing"",""สงขลา!L477"")"),376620)</f>
        <v>376620</v>
      </c>
      <c r="M582" s="169"/>
      <c r="N582" s="175">
        <f ca="1">IFERROR(__xludf.DUMMYFUNCTION("IMPORTRANGE(""https://docs.google.com/spreadsheets/d/1IYY_tgx_IHuhSq3AJ5eI5OnqOPBNLWSHKh2a30DoXe8/edit?usp=sharing"",""สงขลา!M477"")"),294670)</f>
        <v>294670</v>
      </c>
      <c r="O582" s="175">
        <f t="shared" ca="1" si="124"/>
        <v>78.240666985290218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IFERROR(__xludf.DUMMYFUNCTION("IMPORTRANGE(""https://docs.google.com/spreadsheets/d/1IYY_tgx_IHuhSq3AJ5eI5OnqOPBNLWSHKh2a30DoXe8/edit?usp=sharing"",""สงขลา!L478"")"),0)</f>
        <v>0</v>
      </c>
      <c r="M583" s="175"/>
      <c r="N583" s="175">
        <f ca="1">IFERROR(__xludf.DUMMYFUNCTION("IMPORTRANGE(""https://docs.google.com/spreadsheets/d/1IYY_tgx_IHuhSq3AJ5eI5OnqOPBNLWSHKh2a30DoXe8/edit?usp=sharing"",""สงขลา!M478"")"),0)</f>
        <v>0</v>
      </c>
      <c r="O583" s="175">
        <f t="shared" ca="1" si="124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IFERROR(__xludf.DUMMYFUNCTION("IMPORTRANGE(""https://docs.google.com/spreadsheets/d/1IYY_tgx_IHuhSq3AJ5eI5OnqOPBNLWSHKh2a30DoXe8/edit?usp=sharing"",""สงขลา!L479"")"),376620)</f>
        <v>376620</v>
      </c>
      <c r="M584" s="175"/>
      <c r="N584" s="175">
        <f ca="1">IFERROR(__xludf.DUMMYFUNCTION("IMPORTRANGE(""https://docs.google.com/spreadsheets/d/1IYY_tgx_IHuhSq3AJ5eI5OnqOPBNLWSHKh2a30DoXe8/edit?usp=sharing"",""สงขลา!M479"")"),294670)</f>
        <v>294670</v>
      </c>
      <c r="O584" s="175">
        <f t="shared" ca="1" si="124"/>
        <v>78.240666985290218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IFERROR(__xludf.DUMMYFUNCTION("IMPORTRANGE(""https://docs.google.com/spreadsheets/d/1IYY_tgx_IHuhSq3AJ5eI5OnqOPBNLWSHKh2a30DoXe8/edit?usp=sharing"",""สงขลา!M480"")"),0)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IFERROR(__xludf.DUMMYFUNCTION("IMPORTRANGE(""https://docs.google.com/spreadsheets/d/1IYY_tgx_IHuhSq3AJ5eI5OnqOPBNLWSHKh2a30DoXe8/edit?usp=sharing"",""สงขลา!M481"")"),0)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IFERROR(__xludf.DUMMYFUNCTION("IMPORTRANGE(""https://docs.google.com/spreadsheets/d/1IYY_tgx_IHuhSq3AJ5eI5OnqOPBNLWSHKh2a30DoXe8/edit?usp=sharing"",""สงขลา!M482"")"),117096)</f>
        <v>117096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IFERROR(__xludf.DUMMYFUNCTION("IMPORTRANGE(""https://docs.google.com/spreadsheets/d/1IYY_tgx_IHuhSq3AJ5eI5OnqOPBNLWSHKh2a30DoXe8/edit?usp=sharing"",""สงขลา!M483"")"),177574)</f>
        <v>177574</v>
      </c>
      <c r="O588" s="175"/>
      <c r="P588" s="175"/>
    </row>
    <row r="589" spans="1:16" ht="21.75" customHeight="1" x14ac:dyDescent="0.2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IFERROR(__xludf.DUMMYFUNCTION("IMPORTRANGE(""https://docs.google.com/spreadsheets/d/1IYY_tgx_IHuhSq3AJ5eI5OnqOPBNLWSHKh2a30DoXe8/edit?usp=sharing"",""สงขลา!I484"")"),220)</f>
        <v>220</v>
      </c>
      <c r="J589" s="194">
        <f ca="1">IFERROR(__xludf.DUMMYFUNCTION("IMPORTRANGE(""https://docs.google.com/spreadsheets/d/1IYY_tgx_IHuhSq3AJ5eI5OnqOPBNLWSHKh2a30DoXe8/edit?usp=sharing"",""สงขลา!J484"")"),300)</f>
        <v>300</v>
      </c>
      <c r="K589" s="167">
        <f t="shared" ref="K589:K596" ca="1" si="125">IF(I589&gt;0,J589*100/I589,0)</f>
        <v>136.36363636363637</v>
      </c>
      <c r="L589" s="188"/>
      <c r="M589" s="188"/>
      <c r="N589" s="175"/>
      <c r="O589" s="188"/>
      <c r="P589" s="188"/>
    </row>
    <row r="590" spans="1:16" ht="21.75" customHeight="1" x14ac:dyDescent="0.2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IFERROR(__xludf.DUMMYFUNCTION("IMPORTRANGE(""https://docs.google.com/spreadsheets/d/1IYY_tgx_IHuhSq3AJ5eI5OnqOPBNLWSHKh2a30DoXe8/edit?usp=sharing"",""สงขลา!I485"")"),0)</f>
        <v>0</v>
      </c>
      <c r="J590" s="194">
        <f ca="1">IFERROR(__xludf.DUMMYFUNCTION("IMPORTRANGE(""https://docs.google.com/spreadsheets/d/1IYY_tgx_IHuhSq3AJ5eI5OnqOPBNLWSHKh2a30DoXe8/edit?usp=sharing"",""สงขลา!J485"")"),80.97)</f>
        <v>80.97</v>
      </c>
      <c r="K590" s="486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IFERROR(__xludf.DUMMYFUNCTION("IMPORTRANGE(""https://docs.google.com/spreadsheets/d/1IYY_tgx_IHuhSq3AJ5eI5OnqOPBNLWSHKh2a30DoXe8/edit?usp=sharing"",""สงขลา!I486"")"),220)</f>
        <v>220</v>
      </c>
      <c r="J591" s="194">
        <f ca="1">IFERROR(__xludf.DUMMYFUNCTION("IMPORTRANGE(""https://docs.google.com/spreadsheets/d/1IYY_tgx_IHuhSq3AJ5eI5OnqOPBNLWSHKh2a30DoXe8/edit?usp=sharing"",""สงขลา!J486"")"),215)</f>
        <v>215</v>
      </c>
      <c r="K591" s="167">
        <f t="shared" ca="1" si="125"/>
        <v>97.727272727272734</v>
      </c>
      <c r="L591" s="188"/>
      <c r="M591" s="188"/>
      <c r="N591" s="188"/>
      <c r="O591" s="188"/>
      <c r="P591" s="188"/>
    </row>
    <row r="592" spans="1:16" ht="21.75" customHeight="1" x14ac:dyDescent="0.2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IFERROR(__xludf.DUMMYFUNCTION("IMPORTRANGE(""https://docs.google.com/spreadsheets/d/1IYY_tgx_IHuhSq3AJ5eI5OnqOPBNLWSHKh2a30DoXe8/edit?usp=sharing"",""สงขลา!I487"")"),0)</f>
        <v>0</v>
      </c>
      <c r="J592" s="194">
        <f ca="1">IFERROR(__xludf.DUMMYFUNCTION("IMPORTRANGE(""https://docs.google.com/spreadsheets/d/1IYY_tgx_IHuhSq3AJ5eI5OnqOPBNLWSHKh2a30DoXe8/edit?usp=sharing"",""สงขลา!J487"")"),71.2)</f>
        <v>71.2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IFERROR(__xludf.DUMMYFUNCTION("IMPORTRANGE(""https://docs.google.com/spreadsheets/d/1IYY_tgx_IHuhSq3AJ5eI5OnqOPBNLWSHKh2a30DoXe8/edit?usp=sharing"",""สงขลา!I488"")"),220)</f>
        <v>220</v>
      </c>
      <c r="J593" s="194">
        <f ca="1">IFERROR(__xludf.DUMMYFUNCTION("IMPORTRANGE(""https://docs.google.com/spreadsheets/d/1IYY_tgx_IHuhSq3AJ5eI5OnqOPBNLWSHKh2a30DoXe8/edit?usp=sharing"",""สงขลา!J488"")"),83)</f>
        <v>83</v>
      </c>
      <c r="K593" s="167">
        <f t="shared" ca="1" si="125"/>
        <v>37.727272727272727</v>
      </c>
      <c r="L593" s="188"/>
      <c r="M593" s="188"/>
      <c r="N593" s="188"/>
      <c r="O593" s="188"/>
      <c r="P593" s="188"/>
    </row>
    <row r="594" spans="1:16" ht="21.75" customHeight="1" x14ac:dyDescent="0.2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IFERROR(__xludf.DUMMYFUNCTION("IMPORTRANGE(""https://docs.google.com/spreadsheets/d/1IYY_tgx_IHuhSq3AJ5eI5OnqOPBNLWSHKh2a30DoXe8/edit?usp=sharing"",""สงขลา!I489"")"),0)</f>
        <v>0</v>
      </c>
      <c r="J594" s="194">
        <f ca="1">IFERROR(__xludf.DUMMYFUNCTION("IMPORTRANGE(""https://docs.google.com/spreadsheets/d/1IYY_tgx_IHuhSq3AJ5eI5OnqOPBNLWSHKh2a30DoXe8/edit?usp=sharing"",""สงขลา!J489"")"),29.9)</f>
        <v>29.9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IFERROR(__xludf.DUMMYFUNCTION("IMPORTRANGE(""https://docs.google.com/spreadsheets/d/1IYY_tgx_IHuhSq3AJ5eI5OnqOPBNLWSHKh2a30DoXe8/edit?usp=sharing"",""สงขลา!I490"")"),220)</f>
        <v>220</v>
      </c>
      <c r="J595" s="194">
        <f ca="1">IFERROR(__xludf.DUMMYFUNCTION("IMPORTRANGE(""https://docs.google.com/spreadsheets/d/1IYY_tgx_IHuhSq3AJ5eI5OnqOPBNLWSHKh2a30DoXe8/edit?usp=sharing"",""สงขลา!J490"")"),105)</f>
        <v>105</v>
      </c>
      <c r="K595" s="167">
        <f t="shared" ca="1" si="125"/>
        <v>47.727272727272727</v>
      </c>
      <c r="L595" s="188"/>
      <c r="M595" s="188"/>
      <c r="N595" s="188"/>
      <c r="O595" s="188"/>
      <c r="P595" s="188"/>
    </row>
    <row r="596" spans="1:16" ht="21.75" customHeight="1" x14ac:dyDescent="0.2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IFERROR(__xludf.DUMMYFUNCTION("IMPORTRANGE(""https://docs.google.com/spreadsheets/d/1IYY_tgx_IHuhSq3AJ5eI5OnqOPBNLWSHKh2a30DoXe8/edit?usp=sharing"",""สงขลา!I491"")"),0)</f>
        <v>0</v>
      </c>
      <c r="J596" s="247">
        <f ca="1">IFERROR(__xludf.DUMMYFUNCTION("IMPORTRANGE(""https://docs.google.com/spreadsheets/d/1IYY_tgx_IHuhSq3AJ5eI5OnqOPBNLWSHKh2a30DoXe8/edit?usp=sharing"",""สงขลา!J491"")"),38.48)</f>
        <v>38.479999999999997</v>
      </c>
      <c r="K596" s="493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IFERROR(__xludf.DUMMYFUNCTION("IMPORTRANGE(""https://docs.google.com/spreadsheets/d/1IYY_tgx_IHuhSq3AJ5eI5OnqOPBNLWSHKh2a30DoXe8/edit?usp=sharing"",""สงขลา!I492"")"),50)</f>
        <v>50</v>
      </c>
      <c r="J597" s="494">
        <f ca="1">IFERROR(__xludf.DUMMYFUNCTION("IMPORTRANGE(""https://docs.google.com/spreadsheets/d/1IYY_tgx_IHuhSq3AJ5eI5OnqOPBNLWSHKh2a30DoXe8/edit?usp=sharing"",""สงขลา!J492"")"),0)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IFERROR(__xludf.DUMMYFUNCTION("IMPORTRANGE(""https://docs.google.com/spreadsheets/d/1IYY_tgx_IHuhSq3AJ5eI5OnqOPBNLWSHKh2a30DoXe8/edit?usp=sharing"",""สงขลา!L492"")"),14520)</f>
        <v>14520</v>
      </c>
      <c r="M597" s="418"/>
      <c r="N597" s="418">
        <f ca="1">IFERROR(__xludf.DUMMYFUNCTION("IMPORTRANGE(""https://docs.google.com/spreadsheets/d/1IYY_tgx_IHuhSq3AJ5eI5OnqOPBNLWSHKh2a30DoXe8/edit?usp=sharing"",""สงขลา!M492"")"),15320)</f>
        <v>15320</v>
      </c>
      <c r="O597" s="418">
        <f t="shared" ref="O597:O601" ca="1" si="126">+IF(L597&gt;0,N597*100/L597,0)</f>
        <v>105.50964187327824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IFERROR(__xludf.DUMMYFUNCTION("IMPORTRANGE(""https://docs.google.com/spreadsheets/d/1IYY_tgx_IHuhSq3AJ5eI5OnqOPBNLWSHKh2a30DoXe8/edit?usp=sharing"",""สงขลา!L493"")"),0)</f>
        <v>0</v>
      </c>
      <c r="M598" s="168"/>
      <c r="N598" s="175">
        <f ca="1">IFERROR(__xludf.DUMMYFUNCTION("IMPORTRANGE(""https://docs.google.com/spreadsheets/d/1IYY_tgx_IHuhSq3AJ5eI5OnqOPBNLWSHKh2a30DoXe8/edit?usp=sharing"",""สงขลา!M493"")"),0)</f>
        <v>0</v>
      </c>
      <c r="O598" s="175">
        <f t="shared" ca="1" si="126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IFERROR(__xludf.DUMMYFUNCTION("IMPORTRANGE(""https://docs.google.com/spreadsheets/d/1IYY_tgx_IHuhSq3AJ5eI5OnqOPBNLWSHKh2a30DoXe8/edit?usp=sharing"",""สงขลา!L494"")"),14520)</f>
        <v>14520</v>
      </c>
      <c r="M599" s="169"/>
      <c r="N599" s="175">
        <f ca="1">IFERROR(__xludf.DUMMYFUNCTION("IMPORTRANGE(""https://docs.google.com/spreadsheets/d/1IYY_tgx_IHuhSq3AJ5eI5OnqOPBNLWSHKh2a30DoXe8/edit?usp=sharing"",""สงขลา!M494"")"),15320)</f>
        <v>15320</v>
      </c>
      <c r="O599" s="175">
        <f t="shared" ca="1" si="126"/>
        <v>105.50964187327824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IFERROR(__xludf.DUMMYFUNCTION("IMPORTRANGE(""https://docs.google.com/spreadsheets/d/1IYY_tgx_IHuhSq3AJ5eI5OnqOPBNLWSHKh2a30DoXe8/edit?usp=sharing"",""สงขลา!L495"")"),0)</f>
        <v>0</v>
      </c>
      <c r="M600" s="175"/>
      <c r="N600" s="175">
        <f ca="1">IFERROR(__xludf.DUMMYFUNCTION("IMPORTRANGE(""https://docs.google.com/spreadsheets/d/1IYY_tgx_IHuhSq3AJ5eI5OnqOPBNLWSHKh2a30DoXe8/edit?usp=sharing"",""สงขลา!M495"")"),0)</f>
        <v>0</v>
      </c>
      <c r="O600" s="175">
        <f t="shared" ca="1" si="126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IFERROR(__xludf.DUMMYFUNCTION("IMPORTRANGE(""https://docs.google.com/spreadsheets/d/1IYY_tgx_IHuhSq3AJ5eI5OnqOPBNLWSHKh2a30DoXe8/edit?usp=sharing"",""สงขลา!L496"")"),14520)</f>
        <v>14520</v>
      </c>
      <c r="M601" s="175"/>
      <c r="N601" s="175">
        <f ca="1">IFERROR(__xludf.DUMMYFUNCTION("IMPORTRANGE(""https://docs.google.com/spreadsheets/d/1IYY_tgx_IHuhSq3AJ5eI5OnqOPBNLWSHKh2a30DoXe8/edit?usp=sharing"",""สงขลา!M496"")"),15320)</f>
        <v>15320</v>
      </c>
      <c r="O601" s="175">
        <f t="shared" ca="1" si="126"/>
        <v>105.50964187327824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IFERROR(__xludf.DUMMYFUNCTION("IMPORTRANGE(""https://docs.google.com/spreadsheets/d/1IYY_tgx_IHuhSq3AJ5eI5OnqOPBNLWSHKh2a30DoXe8/edit?usp=sharing"",""สงขลา!M497"")"),0)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IFERROR(__xludf.DUMMYFUNCTION("IMPORTRANGE(""https://docs.google.com/spreadsheets/d/1IYY_tgx_IHuhSq3AJ5eI5OnqOPBNLWSHKh2a30DoXe8/edit?usp=sharing"",""สงขลา!M498"")"),0)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IFERROR(__xludf.DUMMYFUNCTION("IMPORTRANGE(""https://docs.google.com/spreadsheets/d/1IYY_tgx_IHuhSq3AJ5eI5OnqOPBNLWSHKh2a30DoXe8/edit?usp=sharing"",""สงขลา!M499"")"),0)</f>
        <v>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IFERROR(__xludf.DUMMYFUNCTION("IMPORTRANGE(""https://docs.google.com/spreadsheets/d/1IYY_tgx_IHuhSq3AJ5eI5OnqOPBNLWSHKh2a30DoXe8/edit?usp=sharing"",""สงขลา!M500"")"),15320)</f>
        <v>15320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IFERROR(__xludf.DUMMYFUNCTION("IMPORTRANGE(""https://docs.google.com/spreadsheets/d/1IYY_tgx_IHuhSq3AJ5eI5OnqOPBNLWSHKh2a30DoXe8/edit?usp=sharing"",""สงขลา!J502"")"),0)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IFERROR(__xludf.DUMMYFUNCTION("IMPORTRANGE(""https://docs.google.com/spreadsheets/d/1IYY_tgx_IHuhSq3AJ5eI5OnqOPBNLWSHKh2a30DoXe8/edit?usp=sharing"",""สงขลา!J503"")"),1)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IFERROR(__xludf.DUMMYFUNCTION("IMPORTRANGE(""https://docs.google.com/spreadsheets/d/1IYY_tgx_IHuhSq3AJ5eI5OnqOPBNLWSHKh2a30DoXe8/edit?usp=sharing"",""สงขลา!J166"")"),0)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2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IFERROR(__xludf.DUMMYFUNCTION("IMPORTRANGE(""https://docs.google.com/spreadsheets/d/1IYY_tgx_IHuhSq3AJ5eI5OnqOPBNLWSHKh2a30DoXe8/edit?usp=sharing"",""สงขลา!J166"")"),0)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IFERROR(__xludf.DUMMYFUNCTION("IMPORTRANGE(""https://docs.google.com/spreadsheets/d/1IYY_tgx_IHuhSq3AJ5eI5OnqOPBNLWSHKh2a30DoXe8/edit?usp=sharing"",""สงขลา!I506"")"),50)</f>
        <v>50</v>
      </c>
      <c r="J611" s="166">
        <f ca="1">IFERROR(__xludf.DUMMYFUNCTION("IMPORTRANGE(""https://docs.google.com/spreadsheets/d/1IYY_tgx_IHuhSq3AJ5eI5OnqOPBNLWSHKh2a30DoXe8/edit?usp=sharing"",""สงขลา!J506"")"),0)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IFERROR(__xludf.DUMMYFUNCTION("IMPORTRANGE(""https://docs.google.com/spreadsheets/d/1IYY_tgx_IHuhSq3AJ5eI5OnqOPBNLWSHKh2a30DoXe8/edit?usp=sharing"",""สงขลา!I507"")"),0)</f>
        <v>0</v>
      </c>
      <c r="J612" s="204">
        <f ca="1">IFERROR(__xludf.DUMMYFUNCTION("IMPORTRANGE(""https://docs.google.com/spreadsheets/d/1IYY_tgx_IHuhSq3AJ5eI5OnqOPBNLWSHKh2a30DoXe8/edit?usp=sharing"",""สงขลา!J507"")"),303.42)</f>
        <v>303.42</v>
      </c>
      <c r="K612" s="167">
        <f t="shared" ca="1" si="127"/>
        <v>606.84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IFERROR(__xludf.DUMMYFUNCTION("IMPORTRANGE(""https://docs.google.com/spreadsheets/d/1IYY_tgx_IHuhSq3AJ5eI5OnqOPBNLWSHKh2a30DoXe8/edit?usp=sharing"",""สงขลา!I508"")"),0)</f>
        <v>0</v>
      </c>
      <c r="J613" s="204">
        <f ca="1">IFERROR(__xludf.DUMMYFUNCTION("IMPORTRANGE(""https://docs.google.com/spreadsheets/d/1IYY_tgx_IHuhSq3AJ5eI5OnqOPBNLWSHKh2a30DoXe8/edit?usp=sharing"",""สงขลา!J508"")"),303)</f>
        <v>303</v>
      </c>
      <c r="K613" s="167">
        <f t="shared" ca="1" si="127"/>
        <v>606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IFERROR(__xludf.DUMMYFUNCTION("IMPORTRANGE(""https://docs.google.com/spreadsheets/d/1IYY_tgx_IHuhSq3AJ5eI5OnqOPBNLWSHKh2a30DoXe8/edit?usp=sharing"",""สงขลา!I509"")"),0)</f>
        <v>0</v>
      </c>
      <c r="J614" s="204">
        <f ca="1">IFERROR(__xludf.DUMMYFUNCTION("IMPORTRANGE(""https://docs.google.com/spreadsheets/d/1IYY_tgx_IHuhSq3AJ5eI5OnqOPBNLWSHKh2a30DoXe8/edit?usp=sharing"",""สงขลา!J509"")"),303)</f>
        <v>303</v>
      </c>
      <c r="K614" s="167">
        <f t="shared" ca="1" si="127"/>
        <v>606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IFERROR(__xludf.DUMMYFUNCTION("IMPORTRANGE(""https://docs.google.com/spreadsheets/d/1IYY_tgx_IHuhSq3AJ5eI5OnqOPBNLWSHKh2a30DoXe8/edit?usp=sharing"",""สงขลา!I510"")"),0)</f>
        <v>0</v>
      </c>
      <c r="J615" s="204">
        <f ca="1">IFERROR(__xludf.DUMMYFUNCTION("IMPORTRANGE(""https://docs.google.com/spreadsheets/d/1IYY_tgx_IHuhSq3AJ5eI5OnqOPBNLWSHKh2a30DoXe8/edit?usp=sharing"",""สงขลา!J510"")"),303)</f>
        <v>303</v>
      </c>
      <c r="K615" s="167">
        <f t="shared" ca="1" si="127"/>
        <v>606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IFERROR(__xludf.DUMMYFUNCTION("IMPORTRANGE(""https://docs.google.com/spreadsheets/d/1IYY_tgx_IHuhSq3AJ5eI5OnqOPBNLWSHKh2a30DoXe8/edit?usp=sharing"",""สงขลา!I511"")"),0)</f>
        <v>0</v>
      </c>
      <c r="J616" s="204">
        <f ca="1">IFERROR(__xludf.DUMMYFUNCTION("IMPORTRANGE(""https://docs.google.com/spreadsheets/d/1IYY_tgx_IHuhSq3AJ5eI5OnqOPBNLWSHKh2a30DoXe8/edit?usp=sharing"",""สงขลา!J511"")"),0)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IFERROR(__xludf.DUMMYFUNCTION("IMPORTRANGE(""https://docs.google.com/spreadsheets/d/1IYY_tgx_IHuhSq3AJ5eI5OnqOPBNLWSHKh2a30DoXe8/edit?usp=sharing"",""สงขลา!I512"")"),0)</f>
        <v>0</v>
      </c>
      <c r="J617" s="194">
        <f ca="1">IFERROR(__xludf.DUMMYFUNCTION("IMPORTRANGE(""https://docs.google.com/spreadsheets/d/1IYY_tgx_IHuhSq3AJ5eI5OnqOPBNLWSHKh2a30DoXe8/edit?usp=sharing"",""สงขลา!J512"")"),0)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IFERROR(__xludf.DUMMYFUNCTION("IMPORTRANGE(""https://docs.google.com/spreadsheets/d/1IYY_tgx_IHuhSq3AJ5eI5OnqOPBNLWSHKh2a30DoXe8/edit?usp=sharing"",""สงขลา!I513"")"),0)</f>
        <v>0</v>
      </c>
      <c r="J618" s="195">
        <f ca="1">IFERROR(__xludf.DUMMYFUNCTION("IMPORTRANGE(""https://docs.google.com/spreadsheets/d/1IYY_tgx_IHuhSq3AJ5eI5OnqOPBNLWSHKh2a30DoXe8/edit?usp=sharing"",""สงขลา!J513"")"),0)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IFERROR(__xludf.DUMMYFUNCTION("IMPORTRANGE(""https://docs.google.com/spreadsheets/d/1IYY_tgx_IHuhSq3AJ5eI5OnqOPBNLWSHKh2a30DoXe8/edit?usp=sharing"",""สงขลา!I514"")"),0)</f>
        <v>0</v>
      </c>
      <c r="J619" s="195">
        <f ca="1">IFERROR(__xludf.DUMMYFUNCTION("IMPORTRANGE(""https://docs.google.com/spreadsheets/d/1IYY_tgx_IHuhSq3AJ5eI5OnqOPBNLWSHKh2a30DoXe8/edit?usp=sharing"",""สงขลา!J514"")"),0)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IFERROR(__xludf.DUMMYFUNCTION("IMPORTRANGE(""https://docs.google.com/spreadsheets/d/1IYY_tgx_IHuhSq3AJ5eI5OnqOPBNLWSHKh2a30DoXe8/edit?usp=sharing"",""สงขลา!I515"")"),48)</f>
        <v>48</v>
      </c>
      <c r="J620" s="209">
        <f ca="1">IFERROR(__xludf.DUMMYFUNCTION("IMPORTRANGE(""https://docs.google.com/spreadsheets/d/1IYY_tgx_IHuhSq3AJ5eI5OnqOPBNLWSHKh2a30DoXe8/edit?usp=sharing"",""สงขลา!J515"")"),0)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IFERROR(__xludf.DUMMYFUNCTION("IMPORTRANGE(""https://docs.google.com/spreadsheets/d/1IYY_tgx_IHuhSq3AJ5eI5OnqOPBNLWSHKh2a30DoXe8/edit?usp=sharing"",""สงขลา!I516"")"),0)</f>
        <v>0</v>
      </c>
      <c r="J621" s="209">
        <f ca="1">IFERROR(__xludf.DUMMYFUNCTION("IMPORTRANGE(""https://docs.google.com/spreadsheets/d/1IYY_tgx_IHuhSq3AJ5eI5OnqOPBNLWSHKh2a30DoXe8/edit?usp=sharing"",""สงขลา!J516"")"),0)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IFERROR(__xludf.DUMMYFUNCTION("IMPORTRANGE(""https://docs.google.com/spreadsheets/d/1IYY_tgx_IHuhSq3AJ5eI5OnqOPBNLWSHKh2a30DoXe8/edit?usp=sharing"",""สงขลา!I517"")"),0)</f>
        <v>0</v>
      </c>
      <c r="J622" s="195">
        <f ca="1">IFERROR(__xludf.DUMMYFUNCTION("IMPORTRANGE(""https://docs.google.com/spreadsheets/d/1IYY_tgx_IHuhSq3AJ5eI5OnqOPBNLWSHKh2a30DoXe8/edit?usp=sharing"",""สงขลา!J517"")"),0)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IFERROR(__xludf.DUMMYFUNCTION("IMPORTRANGE(""https://docs.google.com/spreadsheets/d/1IYY_tgx_IHuhSq3AJ5eI5OnqOPBNLWSHKh2a30DoXe8/edit?usp=sharing"",""สงขลา!I518"")"),0)</f>
        <v>0</v>
      </c>
      <c r="J623" s="195">
        <f ca="1">IFERROR(__xludf.DUMMYFUNCTION("IMPORTRANGE(""https://docs.google.com/spreadsheets/d/1IYY_tgx_IHuhSq3AJ5eI5OnqOPBNLWSHKh2a30DoXe8/edit?usp=sharing"",""สงขลา!J518"")"),0)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IFERROR(__xludf.DUMMYFUNCTION("IMPORTRANGE(""https://docs.google.com/spreadsheets/d/1IYY_tgx_IHuhSq3AJ5eI5OnqOPBNLWSHKh2a30DoXe8/edit?usp=sharing"",""สงขลา!I519"")"),0)</f>
        <v>0</v>
      </c>
      <c r="J624" s="194">
        <f ca="1">IFERROR(__xludf.DUMMYFUNCTION("IMPORTRANGE(""https://docs.google.com/spreadsheets/d/1IYY_tgx_IHuhSq3AJ5eI5OnqOPBNLWSHKh2a30DoXe8/edit?usp=sharing"",""สงขลา!J519"")"),0)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IFERROR(__xludf.DUMMYFUNCTION("IMPORTRANGE(""https://docs.google.com/spreadsheets/d/1IYY_tgx_IHuhSq3AJ5eI5OnqOPBNLWSHKh2a30DoXe8/edit?usp=sharing"",""สงขลา!I520"")"),0)</f>
        <v>0</v>
      </c>
      <c r="J625" s="195">
        <f ca="1">IFERROR(__xludf.DUMMYFUNCTION("IMPORTRANGE(""https://docs.google.com/spreadsheets/d/1IYY_tgx_IHuhSq3AJ5eI5OnqOPBNLWSHKh2a30DoXe8/edit?usp=sharing"",""สงขลา!J520"")"),0)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IFERROR(__xludf.DUMMYFUNCTION("IMPORTRANGE(""https://docs.google.com/spreadsheets/d/1IYY_tgx_IHuhSq3AJ5eI5OnqOPBNLWSHKh2a30DoXe8/edit?usp=sharing"",""สงขลา!I521"")"),0)</f>
        <v>0</v>
      </c>
      <c r="J626" s="195">
        <f ca="1">IFERROR(__xludf.DUMMYFUNCTION("IMPORTRANGE(""https://docs.google.com/spreadsheets/d/1IYY_tgx_IHuhSq3AJ5eI5OnqOPBNLWSHKh2a30DoXe8/edit?usp=sharing"",""สงขลา!J521"")"),0)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2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2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IFERROR(__xludf.DUMMYFUNCTION("IMPORTRANGE(""https://docs.google.com/spreadsheets/d/1IYY_tgx_IHuhSq3AJ5eI5OnqOPBNLWSHKh2a30DoXe8/edit?usp=sharing"",""สงขลา!I523"")"),3123749.8)</f>
        <v>3123749.8</v>
      </c>
      <c r="J628" s="347">
        <f ca="1">IFERROR(__xludf.DUMMYFUNCTION("IMPORTRANGE(""https://docs.google.com/spreadsheets/d/1IYY_tgx_IHuhSq3AJ5eI5OnqOPBNLWSHKh2a30DoXe8/edit?usp=sharing"",""สงขลา!J523"")"),2792633.47)</f>
        <v>2792633.47</v>
      </c>
      <c r="K628" s="348">
        <f t="shared" ref="K628:K635" ca="1" si="129">IF(I628&gt;0,J628*100/I628,0)</f>
        <v>89.400036776312888</v>
      </c>
      <c r="L628" s="348"/>
      <c r="M628" s="348"/>
      <c r="N628" s="348"/>
      <c r="O628" s="175"/>
      <c r="P628" s="175"/>
    </row>
    <row r="629" spans="1:16" ht="21.75" customHeight="1" x14ac:dyDescent="0.2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IFERROR(__xludf.DUMMYFUNCTION("IMPORTRANGE(""https://docs.google.com/spreadsheets/d/1IYY_tgx_IHuhSq3AJ5eI5OnqOPBNLWSHKh2a30DoXe8/edit?usp=sharing"",""สงขลา!I524"")"),257)</f>
        <v>257</v>
      </c>
      <c r="J629" s="347">
        <f ca="1">IFERROR(__xludf.DUMMYFUNCTION("IMPORTRANGE(""https://docs.google.com/spreadsheets/d/1IYY_tgx_IHuhSq3AJ5eI5OnqOPBNLWSHKh2a30DoXe8/edit?usp=sharing"",""สงขลา!J524"")"),253)</f>
        <v>253</v>
      </c>
      <c r="K629" s="348">
        <f t="shared" ca="1" si="129"/>
        <v>98.443579766536971</v>
      </c>
      <c r="L629" s="348"/>
      <c r="M629" s="348"/>
      <c r="N629" s="348"/>
      <c r="O629" s="175"/>
      <c r="P629" s="175"/>
    </row>
    <row r="630" spans="1:16" ht="21.75" customHeight="1" x14ac:dyDescent="0.2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IFERROR(__xludf.DUMMYFUNCTION("IMPORTRANGE(""https://docs.google.com/spreadsheets/d/1IYY_tgx_IHuhSq3AJ5eI5OnqOPBNLWSHKh2a30DoXe8/edit?usp=sharing"",""สงขลา!I525"")"),908206.85)</f>
        <v>908206.85</v>
      </c>
      <c r="J630" s="347">
        <f ca="1">IFERROR(__xludf.DUMMYFUNCTION("IMPORTRANGE(""https://docs.google.com/spreadsheets/d/1IYY_tgx_IHuhSq3AJ5eI5OnqOPBNLWSHKh2a30DoXe8/edit?usp=sharing"",""สงขลา!J525"")"),264851.39)</f>
        <v>264851.39</v>
      </c>
      <c r="K630" s="348">
        <f t="shared" ca="1" si="129"/>
        <v>29.162011935937283</v>
      </c>
      <c r="L630" s="348"/>
      <c r="M630" s="348"/>
      <c r="N630" s="348"/>
      <c r="O630" s="175"/>
      <c r="P630" s="175"/>
    </row>
    <row r="631" spans="1:16" ht="21.75" customHeight="1" x14ac:dyDescent="0.2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IFERROR(__xludf.DUMMYFUNCTION("IMPORTRANGE(""https://docs.google.com/spreadsheets/d/1IYY_tgx_IHuhSq3AJ5eI5OnqOPBNLWSHKh2a30DoXe8/edit?usp=sharing"",""สงขลา!I526"")"),42)</f>
        <v>42</v>
      </c>
      <c r="J631" s="347">
        <f ca="1">IFERROR(__xludf.DUMMYFUNCTION("IMPORTRANGE(""https://docs.google.com/spreadsheets/d/1IYY_tgx_IHuhSq3AJ5eI5OnqOPBNLWSHKh2a30DoXe8/edit?usp=sharing"",""สงขลา!J526"")"),41)</f>
        <v>41</v>
      </c>
      <c r="K631" s="348">
        <f t="shared" ca="1" si="129"/>
        <v>97.61904761904762</v>
      </c>
      <c r="L631" s="348"/>
      <c r="M631" s="348"/>
      <c r="N631" s="348"/>
      <c r="O631" s="175"/>
      <c r="P631" s="175"/>
    </row>
    <row r="632" spans="1:16" ht="21.75" customHeight="1" x14ac:dyDescent="0.2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IFERROR(__xludf.DUMMYFUNCTION("IMPORTRANGE(""https://docs.google.com/spreadsheets/d/1IYY_tgx_IHuhSq3AJ5eI5OnqOPBNLWSHKh2a30DoXe8/edit?usp=sharing"",""สงขลา!I527"")"),0)</f>
        <v>0</v>
      </c>
      <c r="J632" s="347">
        <f ca="1">IFERROR(__xludf.DUMMYFUNCTION("IMPORTRANGE(""https://docs.google.com/spreadsheets/d/1IYY_tgx_IHuhSq3AJ5eI5OnqOPBNLWSHKh2a30DoXe8/edit?usp=sharing"",""สงขลา!J527"")"),0)</f>
        <v>0</v>
      </c>
      <c r="K632" s="348">
        <f t="shared" ca="1" si="129"/>
        <v>0</v>
      </c>
      <c r="L632" s="348"/>
      <c r="M632" s="348"/>
      <c r="N632" s="348"/>
      <c r="O632" s="175"/>
      <c r="P632" s="175"/>
    </row>
    <row r="633" spans="1:16" ht="21.75" customHeight="1" x14ac:dyDescent="0.2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IFERROR(__xludf.DUMMYFUNCTION("IMPORTRANGE(""https://docs.google.com/spreadsheets/d/1IYY_tgx_IHuhSq3AJ5eI5OnqOPBNLWSHKh2a30DoXe8/edit?usp=sharing"",""สงขลา!I528"")"),0)</f>
        <v>0</v>
      </c>
      <c r="J633" s="347">
        <f ca="1">IFERROR(__xludf.DUMMYFUNCTION("IMPORTRANGE(""https://docs.google.com/spreadsheets/d/1IYY_tgx_IHuhSq3AJ5eI5OnqOPBNLWSHKh2a30DoXe8/edit?usp=sharing"",""สงขลา!J528"")"),0)</f>
        <v>0</v>
      </c>
      <c r="K633" s="348">
        <f t="shared" ca="1" si="129"/>
        <v>0</v>
      </c>
      <c r="L633" s="348"/>
      <c r="M633" s="348"/>
      <c r="N633" s="348"/>
      <c r="O633" s="175"/>
      <c r="P633" s="175"/>
    </row>
    <row r="634" spans="1:16" ht="21.75" customHeight="1" x14ac:dyDescent="0.2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IFERROR(__xludf.DUMMYFUNCTION("IMPORTRANGE(""https://docs.google.com/spreadsheets/d/1IYY_tgx_IHuhSq3AJ5eI5OnqOPBNLWSHKh2a30DoXe8/edit?usp=sharing"",""สงขลา!I529"")"),1800000)</f>
        <v>1800000</v>
      </c>
      <c r="J634" s="347">
        <f ca="1">IFERROR(__xludf.DUMMYFUNCTION("IMPORTRANGE(""https://docs.google.com/spreadsheets/d/1IYY_tgx_IHuhSq3AJ5eI5OnqOPBNLWSHKh2a30DoXe8/edit?usp=sharing"",""สงขลา!J529"")"),1800000)</f>
        <v>1800000</v>
      </c>
      <c r="K634" s="348">
        <f t="shared" ca="1" si="129"/>
        <v>100</v>
      </c>
      <c r="L634" s="348"/>
      <c r="M634" s="348"/>
      <c r="N634" s="348"/>
      <c r="O634" s="175"/>
      <c r="P634" s="175"/>
    </row>
    <row r="635" spans="1:16" ht="21.75" customHeight="1" x14ac:dyDescent="0.25">
      <c r="A635" s="487"/>
      <c r="B635" s="489"/>
      <c r="C635" s="489"/>
      <c r="D635" s="488"/>
      <c r="E635" s="515"/>
      <c r="F635" s="515"/>
      <c r="G635" s="516"/>
      <c r="H635" s="517" t="s">
        <v>37</v>
      </c>
      <c r="I635" s="518">
        <f ca="1">IFERROR(__xludf.DUMMYFUNCTION("IMPORTRANGE(""https://docs.google.com/spreadsheets/d/1IYY_tgx_IHuhSq3AJ5eI5OnqOPBNLWSHKh2a30DoXe8/edit?usp=sharing"",""สงขลา!I530"")"),30)</f>
        <v>30</v>
      </c>
      <c r="J635" s="518">
        <f ca="1">IFERROR(__xludf.DUMMYFUNCTION("IMPORTRANGE(""https://docs.google.com/spreadsheets/d/1IYY_tgx_IHuhSq3AJ5eI5OnqOPBNLWSHKh2a30DoXe8/edit?usp=sharing"",""สงขลา!J530"")"),40)</f>
        <v>40</v>
      </c>
      <c r="K635" s="493">
        <f t="shared" ca="1" si="129"/>
        <v>133.33333333333334</v>
      </c>
      <c r="L635" s="493"/>
      <c r="M635" s="493"/>
      <c r="N635" s="493"/>
      <c r="O635" s="519"/>
      <c r="P635" s="519"/>
    </row>
    <row r="636" spans="1:16" ht="21.75" customHeight="1" x14ac:dyDescent="0.3">
      <c r="A636" s="520"/>
      <c r="B636" s="599" t="s">
        <v>237</v>
      </c>
      <c r="C636" s="600"/>
      <c r="D636" s="600"/>
      <c r="E636" s="600"/>
      <c r="F636" s="600"/>
      <c r="G636" s="600"/>
      <c r="H636" s="521"/>
      <c r="I636" s="521"/>
      <c r="J636" s="521"/>
      <c r="K636" s="522"/>
      <c r="L636" s="523">
        <f ca="1">SUM(L637,L638)</f>
        <v>0</v>
      </c>
      <c r="M636" s="524"/>
      <c r="N636" s="523">
        <f ca="1">SUM(N637:N638)</f>
        <v>0</v>
      </c>
      <c r="O636" s="523">
        <f t="shared" ref="O636:O640" ca="1" si="130">+IF(L636&gt;0,N636*100/L636,0)</f>
        <v>0</v>
      </c>
      <c r="P636" s="523"/>
    </row>
    <row r="637" spans="1:16" ht="21.75" customHeight="1" x14ac:dyDescent="0.3">
      <c r="A637" s="525"/>
      <c r="B637" s="526"/>
      <c r="C637" s="527" t="s">
        <v>16</v>
      </c>
      <c r="D637" s="601" t="s">
        <v>77</v>
      </c>
      <c r="E637" s="575"/>
      <c r="F637" s="575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130"/>
        <v>0</v>
      </c>
      <c r="P637" s="535"/>
    </row>
    <row r="638" spans="1:16" ht="21.75" customHeight="1" x14ac:dyDescent="0.3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0</v>
      </c>
      <c r="M638" s="534"/>
      <c r="N638" s="535">
        <f ca="1">SUM(N639:N640)</f>
        <v>0</v>
      </c>
      <c r="O638" s="535">
        <f t="shared" ca="1" si="130"/>
        <v>0</v>
      </c>
      <c r="P638" s="535"/>
    </row>
    <row r="639" spans="1:16" ht="21.75" customHeight="1" x14ac:dyDescent="0.3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130"/>
        <v>0</v>
      </c>
      <c r="P639" s="535"/>
    </row>
    <row r="640" spans="1:16" ht="21.75" customHeight="1" x14ac:dyDescent="0.3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0</v>
      </c>
      <c r="M640" s="534"/>
      <c r="N640" s="535">
        <f ca="1">SUM(N641:N644)</f>
        <v>0</v>
      </c>
      <c r="O640" s="535">
        <f t="shared" ca="1" si="130"/>
        <v>0</v>
      </c>
      <c r="P640" s="535"/>
    </row>
    <row r="641" spans="1:16" ht="21.75" customHeight="1" x14ac:dyDescent="0.3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3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3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3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0</v>
      </c>
      <c r="O644" s="537"/>
      <c r="P644" s="537"/>
    </row>
    <row r="645" spans="1:16" ht="21.75" customHeight="1" x14ac:dyDescent="0.3">
      <c r="A645" s="539"/>
      <c r="B645" s="540"/>
      <c r="C645" s="527" t="s">
        <v>16</v>
      </c>
      <c r="D645" s="602" t="s">
        <v>242</v>
      </c>
      <c r="E645" s="575"/>
      <c r="F645" s="575"/>
      <c r="G645" s="575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3">
      <c r="A646" s="539"/>
      <c r="B646" s="540"/>
      <c r="C646" s="540"/>
      <c r="D646" s="541">
        <v>1</v>
      </c>
      <c r="E646" s="603" t="s">
        <v>44</v>
      </c>
      <c r="F646" s="575"/>
      <c r="G646" s="575"/>
      <c r="H646" s="536"/>
      <c r="I646" s="542"/>
      <c r="J646" s="543">
        <f ca="1">IFERROR(__xludf.DUMMYFUNCTION("IMPORTRANGE(""https://docs.google.com/spreadsheets/d/1IYY_tgx_IHuhSq3AJ5eI5OnqOPBNLWSHKh2a30DoXe8/edit?usp=sharing"",""สงขลา!J541"")"),0)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3">
      <c r="A647" s="539"/>
      <c r="B647" s="540"/>
      <c r="C647" s="540"/>
      <c r="D647" s="545">
        <v>2</v>
      </c>
      <c r="E647" s="604" t="s">
        <v>243</v>
      </c>
      <c r="F647" s="575"/>
      <c r="G647" s="575"/>
      <c r="H647" s="536"/>
      <c r="I647" s="542"/>
      <c r="J647" s="543">
        <f ca="1">IFERROR(__xludf.DUMMYFUNCTION("IMPORTRANGE(""https://docs.google.com/spreadsheets/d/1IYY_tgx_IHuhSq3AJ5eI5OnqOPBNLWSHKh2a30DoXe8/edit?usp=sharing"",""สงขลา!J542"")"),0)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3">
      <c r="A648" s="525"/>
      <c r="B648" s="526"/>
      <c r="C648" s="526"/>
      <c r="D648" s="526"/>
      <c r="E648" s="526"/>
      <c r="F648" s="598" t="s">
        <v>244</v>
      </c>
      <c r="G648" s="575"/>
      <c r="H648" s="529" t="s">
        <v>122</v>
      </c>
      <c r="I648" s="546">
        <f ca="1">IFERROR(__xludf.DUMMYFUNCTION("IMPORTRANGE(""https://docs.google.com/spreadsheets/d/1IYY_tgx_IHuhSq3AJ5eI5OnqOPBNLWSHKh2a30DoXe8/edit?usp=sharing"",""สงขลา!I543"")"),0)</f>
        <v>0</v>
      </c>
      <c r="J648" s="547">
        <f ca="1">IFERROR(__xludf.DUMMYFUNCTION("IMPORTRANGE(""https://docs.google.com/spreadsheets/d/1IYY_tgx_IHuhSq3AJ5eI5OnqOPBNLWSHKh2a30DoXe8/edit?usp=sharing"",""สงขลา!J543"")"),0)</f>
        <v>0</v>
      </c>
      <c r="K648" s="548">
        <f t="shared" ref="K648:K651" ca="1" si="131">IF(I648&gt;0,J648*100/I648,0)</f>
        <v>0</v>
      </c>
      <c r="L648" s="535">
        <f ca="1">IFERROR(__xludf.DUMMYFUNCTION("IMPORTRANGE(""https://docs.google.com/spreadsheets/d/1IYY_tgx_IHuhSq3AJ5eI5OnqOPBNLWSHKh2a30DoXe8/edit?usp=sharing"",""สงขลา!L543"")"),0)</f>
        <v>0</v>
      </c>
      <c r="M648" s="534"/>
      <c r="N648" s="549">
        <f ca="1">IFERROR(__xludf.DUMMYFUNCTION("IMPORTRANGE(""https://docs.google.com/spreadsheets/d/1IYY_tgx_IHuhSq3AJ5eI5OnqOPBNLWSHKh2a30DoXe8/edit?usp=sharing"",""สงขลา!M543"")"),0)</f>
        <v>0</v>
      </c>
      <c r="O648" s="548">
        <f t="shared" ref="O648:O651" ca="1" si="132">IF(L648&gt;0,N648*100/L648,0)</f>
        <v>0</v>
      </c>
      <c r="P648" s="548"/>
    </row>
    <row r="649" spans="1:16" ht="21.75" customHeight="1" x14ac:dyDescent="0.3">
      <c r="A649" s="525"/>
      <c r="B649" s="526"/>
      <c r="C649" s="526"/>
      <c r="D649" s="526"/>
      <c r="E649" s="526"/>
      <c r="F649" s="598" t="s">
        <v>245</v>
      </c>
      <c r="G649" s="575"/>
      <c r="H649" s="529" t="s">
        <v>37</v>
      </c>
      <c r="I649" s="546">
        <f ca="1">IFERROR(__xludf.DUMMYFUNCTION("IMPORTRANGE(""https://docs.google.com/spreadsheets/d/1IYY_tgx_IHuhSq3AJ5eI5OnqOPBNLWSHKh2a30DoXe8/edit?usp=sharing"",""สงขลา!I544"")"),0)</f>
        <v>0</v>
      </c>
      <c r="J649" s="547">
        <f ca="1">IFERROR(__xludf.DUMMYFUNCTION("IMPORTRANGE(""https://docs.google.com/spreadsheets/d/1IYY_tgx_IHuhSq3AJ5eI5OnqOPBNLWSHKh2a30DoXe8/edit?usp=sharing"",""สงขลา!J544"")"),0)</f>
        <v>0</v>
      </c>
      <c r="K649" s="548">
        <f t="shared" ca="1" si="131"/>
        <v>0</v>
      </c>
      <c r="L649" s="535">
        <f ca="1">IFERROR(__xludf.DUMMYFUNCTION("IMPORTRANGE(""https://docs.google.com/spreadsheets/d/1IYY_tgx_IHuhSq3AJ5eI5OnqOPBNLWSHKh2a30DoXe8/edit?usp=sharing"",""สงขลา!L544"")"),0)</f>
        <v>0</v>
      </c>
      <c r="M649" s="534"/>
      <c r="N649" s="549">
        <f ca="1">IFERROR(__xludf.DUMMYFUNCTION("IMPORTRANGE(""https://docs.google.com/spreadsheets/d/1IYY_tgx_IHuhSq3AJ5eI5OnqOPBNLWSHKh2a30DoXe8/edit?usp=sharing"",""สงขลา!M544"")"),0)</f>
        <v>0</v>
      </c>
      <c r="O649" s="548">
        <f t="shared" ca="1" si="132"/>
        <v>0</v>
      </c>
      <c r="P649" s="548"/>
    </row>
    <row r="650" spans="1:16" ht="21.75" customHeight="1" x14ac:dyDescent="0.3">
      <c r="A650" s="525"/>
      <c r="B650" s="526"/>
      <c r="C650" s="526"/>
      <c r="D650" s="526"/>
      <c r="E650" s="526"/>
      <c r="F650" s="598" t="s">
        <v>246</v>
      </c>
      <c r="G650" s="575"/>
      <c r="H650" s="529" t="s">
        <v>122</v>
      </c>
      <c r="I650" s="546">
        <f ca="1">IFERROR(__xludf.DUMMYFUNCTION("IMPORTRANGE(""https://docs.google.com/spreadsheets/d/1IYY_tgx_IHuhSq3AJ5eI5OnqOPBNLWSHKh2a30DoXe8/edit?usp=sharing"",""สงขลา!I545"")"),0)</f>
        <v>0</v>
      </c>
      <c r="J650" s="547">
        <f ca="1">IFERROR(__xludf.DUMMYFUNCTION("IMPORTRANGE(""https://docs.google.com/spreadsheets/d/1IYY_tgx_IHuhSq3AJ5eI5OnqOPBNLWSHKh2a30DoXe8/edit?usp=sharing"",""สงขลา!J545"")"),0)</f>
        <v>0</v>
      </c>
      <c r="K650" s="548">
        <f t="shared" ca="1" si="131"/>
        <v>0</v>
      </c>
      <c r="L650" s="535">
        <f ca="1">IFERROR(__xludf.DUMMYFUNCTION("IMPORTRANGE(""https://docs.google.com/spreadsheets/d/1IYY_tgx_IHuhSq3AJ5eI5OnqOPBNLWSHKh2a30DoXe8/edit?usp=sharing"",""สงขลา!L545"")"),0)</f>
        <v>0</v>
      </c>
      <c r="M650" s="534"/>
      <c r="N650" s="549">
        <f ca="1">IFERROR(__xludf.DUMMYFUNCTION("IMPORTRANGE(""https://docs.google.com/spreadsheets/d/1IYY_tgx_IHuhSq3AJ5eI5OnqOPBNLWSHKh2a30DoXe8/edit?usp=sharing"",""สงขลา!M545"")"),0)</f>
        <v>0</v>
      </c>
      <c r="O650" s="548">
        <f t="shared" ca="1" si="132"/>
        <v>0</v>
      </c>
      <c r="P650" s="548"/>
    </row>
    <row r="651" spans="1:16" ht="21.75" customHeight="1" x14ac:dyDescent="0.3">
      <c r="A651" s="525"/>
      <c r="B651" s="526"/>
      <c r="C651" s="526"/>
      <c r="D651" s="526"/>
      <c r="E651" s="526"/>
      <c r="F651" s="598" t="s">
        <v>247</v>
      </c>
      <c r="G651" s="575"/>
      <c r="H651" s="529" t="s">
        <v>122</v>
      </c>
      <c r="I651" s="546">
        <f ca="1">IFERROR(__xludf.DUMMYFUNCTION("IMPORTRANGE(""https://docs.google.com/spreadsheets/d/1IYY_tgx_IHuhSq3AJ5eI5OnqOPBNLWSHKh2a30DoXe8/edit?usp=sharing"",""สงขลา!I546"")"),0)</f>
        <v>0</v>
      </c>
      <c r="J651" s="547">
        <f ca="1">J657+J660</f>
        <v>0</v>
      </c>
      <c r="K651" s="548">
        <f t="shared" ca="1" si="131"/>
        <v>0</v>
      </c>
      <c r="L651" s="535">
        <f ca="1">IFERROR(__xludf.DUMMYFUNCTION("IMPORTRANGE(""https://docs.google.com/spreadsheets/d/1IYY_tgx_IHuhSq3AJ5eI5OnqOPBNLWSHKh2a30DoXe8/edit?usp=sharing"",""สงขลา!L546"")"),0)</f>
        <v>0</v>
      </c>
      <c r="M651" s="534"/>
      <c r="N651" s="549">
        <f ca="1">IFERROR(__xludf.DUMMYFUNCTION("IMPORTRANGE(""https://docs.google.com/spreadsheets/d/1IYY_tgx_IHuhSq3AJ5eI5OnqOPBNLWSHKh2a30DoXe8/edit?usp=sharing"",""สงขลา!M546"")"),0)</f>
        <v>0</v>
      </c>
      <c r="O651" s="548">
        <f t="shared" ca="1" si="132"/>
        <v>0</v>
      </c>
      <c r="P651" s="548"/>
    </row>
    <row r="652" spans="1:16" ht="21.75" customHeight="1" x14ac:dyDescent="0.3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IFERROR(__xludf.DUMMYFUNCTION("IMPORTRANGE(""https://docs.google.com/spreadsheets/d/1IYY_tgx_IHuhSq3AJ5eI5OnqOPBNLWSHKh2a30DoXe8/edit?usp=sharing"",""สงขลา!J547"")"),0)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3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IFERROR(__xludf.DUMMYFUNCTION("IMPORTRANGE(""https://docs.google.com/spreadsheets/d/1IYY_tgx_IHuhSq3AJ5eI5OnqOPBNLWSHKh2a30DoXe8/edit?usp=sharing"",""สงขลา!J548"")"),0)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3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3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IFERROR(__xludf.DUMMYFUNCTION("IMPORTRANGE(""https://docs.google.com/spreadsheets/d/1IYY_tgx_IHuhSq3AJ5eI5OnqOPBNLWSHKh2a30DoXe8/edit?usp=sharing"",""สงขลา!J550"")"),0)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3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IFERROR(__xludf.DUMMYFUNCTION("IMPORTRANGE(""https://docs.google.com/spreadsheets/d/1IYY_tgx_IHuhSq3AJ5eI5OnqOPBNLWSHKh2a30DoXe8/edit?usp=sharing"",""สงขลา!J551"")"),0)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3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IFERROR(__xludf.DUMMYFUNCTION("IMPORTRANGE(""https://docs.google.com/spreadsheets/d/1IYY_tgx_IHuhSq3AJ5eI5OnqOPBNLWSHKh2a30DoXe8/edit?usp=sharing"",""สงขลา!J552"")"),0)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3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IFERROR(__xludf.DUMMYFUNCTION("IMPORTRANGE(""https://docs.google.com/spreadsheets/d/1IYY_tgx_IHuhSq3AJ5eI5OnqOPBNLWSHKh2a30DoXe8/edit?usp=sharing"",""สงขลา!J553"")"),0)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3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IFERROR(__xludf.DUMMYFUNCTION("IMPORTRANGE(""https://docs.google.com/spreadsheets/d/1IYY_tgx_IHuhSq3AJ5eI5OnqOPBNLWSHKh2a30DoXe8/edit?usp=sharing"",""สงขลา!J554"")"),0)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3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IFERROR(__xludf.DUMMYFUNCTION("IMPORTRANGE(""https://docs.google.com/spreadsheets/d/1IYY_tgx_IHuhSq3AJ5eI5OnqOPBNLWSHKh2a30DoXe8/edit?usp=sharing"",""สงขลา!J555"")"),0)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3">
      <c r="A661" s="525"/>
      <c r="B661" s="526"/>
      <c r="C661" s="526"/>
      <c r="D661" s="526"/>
      <c r="E661" s="526"/>
      <c r="F661" s="598" t="s">
        <v>252</v>
      </c>
      <c r="G661" s="575"/>
      <c r="H661" s="529" t="s">
        <v>37</v>
      </c>
      <c r="I661" s="550"/>
      <c r="J661" s="547">
        <f ca="1">IFERROR(__xludf.DUMMYFUNCTION("IMPORTRANGE(""https://docs.google.com/spreadsheets/d/1IYY_tgx_IHuhSq3AJ5eI5OnqOPBNLWSHKh2a30DoXe8/edit?usp=sharing"",""สงขลา!J556"")"),0)</f>
        <v>0</v>
      </c>
      <c r="K661" s="548"/>
      <c r="L661" s="535">
        <f ca="1">IFERROR(__xludf.DUMMYFUNCTION("IMPORTRANGE(""https://docs.google.com/spreadsheets/d/1IYY_tgx_IHuhSq3AJ5eI5OnqOPBNLWSHKh2a30DoXe8/edit?usp=sharing"",""สงขลา!L556"")"),0)</f>
        <v>0</v>
      </c>
      <c r="M661" s="534"/>
      <c r="N661" s="549">
        <f ca="1">IFERROR(__xludf.DUMMYFUNCTION("IMPORTRANGE(""https://docs.google.com/spreadsheets/d/1IYY_tgx_IHuhSq3AJ5eI5OnqOPBNLWSHKh2a30DoXe8/edit?usp=sharing"",""สงขลา!M556"")"),0)</f>
        <v>0</v>
      </c>
      <c r="O661" s="548">
        <f ca="1">IF(L661&gt;0,N661*100/L661,0)</f>
        <v>0</v>
      </c>
      <c r="P661" s="548"/>
    </row>
    <row r="662" spans="1:16" ht="21.75" customHeight="1" x14ac:dyDescent="0.3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IFERROR(__xludf.DUMMYFUNCTION("IMPORTRANGE(""https://docs.google.com/spreadsheets/d/1IYY_tgx_IHuhSq3AJ5eI5OnqOPBNLWSHKh2a30DoXe8/edit?usp=sharing"",""สงขลา!J557"")"),0)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3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IFERROR(__xludf.DUMMYFUNCTION("IMPORTRANGE(""https://docs.google.com/spreadsheets/d/1IYY_tgx_IHuhSq3AJ5eI5OnqOPBNLWSHKh2a30DoXe8/edit?usp=sharing"",""สงขลา!I558"")"),0)</f>
        <v>0</v>
      </c>
      <c r="J663" s="547">
        <f ca="1">IFERROR(__xludf.DUMMYFUNCTION("IMPORTRANGE(""https://docs.google.com/spreadsheets/d/1IYY_tgx_IHuhSq3AJ5eI5OnqOPBNLWSHKh2a30DoXe8/edit?usp=sharing"",""สงขลา!J558"")"),0)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3">
      <c r="A664" s="525"/>
      <c r="B664" s="526"/>
      <c r="C664" s="526"/>
      <c r="D664" s="526"/>
      <c r="E664" s="526"/>
      <c r="F664" s="598" t="s">
        <v>253</v>
      </c>
      <c r="G664" s="575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3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IFERROR(__xludf.DUMMYFUNCTION("IMPORTRANGE(""https://docs.google.com/spreadsheets/d/1IYY_tgx_IHuhSq3AJ5eI5OnqOPBNLWSHKh2a30DoXe8/edit?usp=sharing"",""สงขลา!I560"")"),0)</f>
        <v>0</v>
      </c>
      <c r="J665" s="547">
        <f ca="1">IFERROR(__xludf.DUMMYFUNCTION("IMPORTRANGE(""https://docs.google.com/spreadsheets/d/1IYY_tgx_IHuhSq3AJ5eI5OnqOPBNLWSHKh2a30DoXe8/edit?usp=sharing"",""สงขลา!J560"")"),0)</f>
        <v>0</v>
      </c>
      <c r="K665" s="548">
        <f ca="1">IF(I665&gt;0,J665*100/I665,0)</f>
        <v>0</v>
      </c>
      <c r="L665" s="535">
        <f ca="1">IFERROR(__xludf.DUMMYFUNCTION("IMPORTRANGE(""https://docs.google.com/spreadsheets/d/1IYY_tgx_IHuhSq3AJ5eI5OnqOPBNLWSHKh2a30DoXe8/edit?usp=sharing"",""สงขลา!L560"")"),0)</f>
        <v>0</v>
      </c>
      <c r="M665" s="534"/>
      <c r="N665" s="549">
        <f ca="1">IFERROR(__xludf.DUMMYFUNCTION("IMPORTRANGE(""https://docs.google.com/spreadsheets/d/1IYY_tgx_IHuhSq3AJ5eI5OnqOPBNLWSHKh2a30DoXe8/edit?usp=sharing"",""สงขลา!M560"")"),0)</f>
        <v>0</v>
      </c>
      <c r="O665" s="548">
        <f ca="1">IF(L665&gt;0,N665*100/L665,0)</f>
        <v>0</v>
      </c>
      <c r="P665" s="548"/>
    </row>
    <row r="666" spans="1:16" ht="21.75" customHeight="1" x14ac:dyDescent="0.3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IFERROR(__xludf.DUMMYFUNCTION("IMPORTRANGE(""https://docs.google.com/spreadsheets/d/1IYY_tgx_IHuhSq3AJ5eI5OnqOPBNLWSHKh2a30DoXe8/edit?usp=sharing"",""สงขลา!J561"")"),0)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3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IFERROR(__xludf.DUMMYFUNCTION("IMPORTRANGE(""https://docs.google.com/spreadsheets/d/1IYY_tgx_IHuhSq3AJ5eI5OnqOPBNLWSHKh2a30DoXe8/edit?usp=sharing"",""สงขลา!J562"")"),0)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3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IFERROR(__xludf.DUMMYFUNCTION("IMPORTRANGE(""https://docs.google.com/spreadsheets/d/1IYY_tgx_IHuhSq3AJ5eI5OnqOPBNLWSHKh2a30DoXe8/edit?usp=sharing"",""สงขลา!I563"")"),0)</f>
        <v>0</v>
      </c>
      <c r="J668" s="547">
        <f ca="1">IFERROR(__xludf.DUMMYFUNCTION("IMPORTRANGE(""https://docs.google.com/spreadsheets/d/1IYY_tgx_IHuhSq3AJ5eI5OnqOPBNLWSHKh2a30DoXe8/edit?usp=sharing"",""สงขลา!J563"")"),0)</f>
        <v>0</v>
      </c>
      <c r="K668" s="548">
        <f ca="1">IF(I668&gt;0,J668*100/I668,0)</f>
        <v>0</v>
      </c>
      <c r="L668" s="535">
        <f ca="1">IFERROR(__xludf.DUMMYFUNCTION("IMPORTRANGE(""https://docs.google.com/spreadsheets/d/1IYY_tgx_IHuhSq3AJ5eI5OnqOPBNLWSHKh2a30DoXe8/edit?usp=sharing"",""สงขลา!L563"")"),0)</f>
        <v>0</v>
      </c>
      <c r="M668" s="534"/>
      <c r="N668" s="549">
        <f ca="1">IFERROR(__xludf.DUMMYFUNCTION("IMPORTRANGE(""https://docs.google.com/spreadsheets/d/1IYY_tgx_IHuhSq3AJ5eI5OnqOPBNLWSHKh2a30DoXe8/edit?usp=sharing"",""สงขลา!M563"")"),0)</f>
        <v>0</v>
      </c>
      <c r="O668" s="548">
        <f ca="1">IF(L668&gt;0,N668*100/L668,0)</f>
        <v>0</v>
      </c>
      <c r="P668" s="548"/>
    </row>
    <row r="669" spans="1:16" ht="21.75" customHeight="1" x14ac:dyDescent="0.3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IFERROR(__xludf.DUMMYFUNCTION("IMPORTRANGE(""https://docs.google.com/spreadsheets/d/1IYY_tgx_IHuhSq3AJ5eI5OnqOPBNLWSHKh2a30DoXe8/edit?usp=sharing"",""สงขลา!J564"")"),0)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3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IFERROR(__xludf.DUMMYFUNCTION("IMPORTRANGE(""https://docs.google.com/spreadsheets/d/1IYY_tgx_IHuhSq3AJ5eI5OnqOPBNLWSHKh2a30DoXe8/edit?usp=sharing"",""สงขลา!J565"")"),0)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3">
      <c r="A671" s="525"/>
      <c r="B671" s="526"/>
      <c r="C671" s="526"/>
      <c r="D671" s="526"/>
      <c r="E671" s="526"/>
      <c r="F671" s="598" t="s">
        <v>256</v>
      </c>
      <c r="G671" s="575"/>
      <c r="H671" s="529" t="s">
        <v>122</v>
      </c>
      <c r="I671" s="546">
        <f ca="1">IFERROR(__xludf.DUMMYFUNCTION("IMPORTRANGE(""https://docs.google.com/spreadsheets/d/1IYY_tgx_IHuhSq3AJ5eI5OnqOPBNLWSHKh2a30DoXe8/edit?usp=sharing"",""สงขลา!I566"")"),0)</f>
        <v>0</v>
      </c>
      <c r="J671" s="547">
        <f ca="1">J674+J677</f>
        <v>0</v>
      </c>
      <c r="K671" s="548">
        <f ca="1">IF(I671&gt;0,J671*100/I671,0)</f>
        <v>0</v>
      </c>
      <c r="L671" s="535">
        <f ca="1">IFERROR(__xludf.DUMMYFUNCTION("IMPORTRANGE(""https://docs.google.com/spreadsheets/d/1IYY_tgx_IHuhSq3AJ5eI5OnqOPBNLWSHKh2a30DoXe8/edit?usp=sharing"",""สงขลา!L566"")"),0)</f>
        <v>0</v>
      </c>
      <c r="M671" s="534"/>
      <c r="N671" s="549">
        <f ca="1">IFERROR(__xludf.DUMMYFUNCTION("IMPORTRANGE(""https://docs.google.com/spreadsheets/d/1IYY_tgx_IHuhSq3AJ5eI5OnqOPBNLWSHKh2a30DoXe8/edit?usp=sharing"",""สงขลา!M566"")"),0)</f>
        <v>0</v>
      </c>
      <c r="O671" s="548">
        <f ca="1">IF(L671&gt;0,N671*100/L671,0)</f>
        <v>0</v>
      </c>
      <c r="P671" s="548"/>
    </row>
    <row r="672" spans="1:16" ht="21.75" customHeight="1" x14ac:dyDescent="0.3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IFERROR(__xludf.DUMMYFUNCTION("IMPORTRANGE(""https://docs.google.com/spreadsheets/d/1IYY_tgx_IHuhSq3AJ5eI5OnqOPBNLWSHKh2a30DoXe8/edit?usp=sharing"",""สงขลา!J567"")"),0)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3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IFERROR(__xludf.DUMMYFUNCTION("IMPORTRANGE(""https://docs.google.com/spreadsheets/d/1IYY_tgx_IHuhSq3AJ5eI5OnqOPBNLWSHKh2a30DoXe8/edit?usp=sharing"",""สงขลา!J568"")"),0)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3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IFERROR(__xludf.DUMMYFUNCTION("IMPORTRANGE(""https://docs.google.com/spreadsheets/d/1IYY_tgx_IHuhSq3AJ5eI5OnqOPBNLWSHKh2a30DoXe8/edit?usp=sharing"",""สงขลา!J569"")"),0)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3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IFERROR(__xludf.DUMMYFUNCTION("IMPORTRANGE(""https://docs.google.com/spreadsheets/d/1IYY_tgx_IHuhSq3AJ5eI5OnqOPBNLWSHKh2a30DoXe8/edit?usp=sharing"",""สงขลา!J570"")"),0)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3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IFERROR(__xludf.DUMMYFUNCTION("IMPORTRANGE(""https://docs.google.com/spreadsheets/d/1IYY_tgx_IHuhSq3AJ5eI5OnqOPBNLWSHKh2a30DoXe8/edit?usp=sharing"",""สงขลา!J571"")"),0)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3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IFERROR(__xludf.DUMMYFUNCTION("IMPORTRANGE(""https://docs.google.com/spreadsheets/d/1IYY_tgx_IHuhSq3AJ5eI5OnqOPBNLWSHKh2a30DoXe8/edit?usp=sharing"",""สงขลา!J572"")"),0)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2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2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2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2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2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2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2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2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2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2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2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2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2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2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2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2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2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2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2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2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2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2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2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2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2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2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2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2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2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2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2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2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2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2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2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2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2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2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2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2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2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2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2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2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2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2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2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2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2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2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2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2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2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2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2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2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2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2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2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2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2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2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2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2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2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2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2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2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2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2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2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2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2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2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2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2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2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2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2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2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2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2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2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2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2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2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2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2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2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2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2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2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2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2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2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2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2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2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2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2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2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2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2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2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2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2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2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2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2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2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2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2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2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2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2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2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2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2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2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2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2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2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2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2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2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2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2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2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2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2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2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2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2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2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2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2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2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2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2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2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2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2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2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2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2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2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2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2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2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2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2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2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2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2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2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2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2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2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2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2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2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2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2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2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2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2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2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2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2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2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2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2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2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2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2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2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2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2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2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2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2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2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2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2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2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2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2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2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2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2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2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2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2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2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2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2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2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2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2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2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2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2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2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2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2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2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2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2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2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2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2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2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2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2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2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2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2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2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2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2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2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2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2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2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2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2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2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2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2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2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2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2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2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2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2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2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2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2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2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2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2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2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2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2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2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2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2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2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2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2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2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2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2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2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2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2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2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2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2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2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2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2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2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2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2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2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2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2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2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2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2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2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2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2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2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2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2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2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2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2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2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2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2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2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2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2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2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2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2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2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2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2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2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2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2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2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2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2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2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2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2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2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2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2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2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2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2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2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2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2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2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2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2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2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2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2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2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2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2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2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2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2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2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2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2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2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2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2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2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2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2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2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2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2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2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2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2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2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2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2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2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2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2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2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2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2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2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2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2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2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2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2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2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2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2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2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2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2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2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2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2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2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2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2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2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2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2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2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2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2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2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2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2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2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2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2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2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2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2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2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2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2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2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2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2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2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2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2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2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2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2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2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2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2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2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2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2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2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2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2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2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2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2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2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2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2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2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2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2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2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2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2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2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2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2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2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2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2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2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2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2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2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2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2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2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2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2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2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2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2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2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2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2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2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2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2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2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2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2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2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2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2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2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2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2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2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2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2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2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2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2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2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2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2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2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2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2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2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2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2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2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2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2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2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2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2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19685039370078741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32" max="16383" man="1"/>
    <brk id="626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86" t="s">
        <v>0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  <c r="N1" s="586"/>
      <c r="O1" s="586"/>
      <c r="P1" s="586"/>
    </row>
    <row r="2" spans="1:16" ht="18" customHeight="1" x14ac:dyDescent="0.25">
      <c r="A2" s="586" t="s">
        <v>286</v>
      </c>
      <c r="B2" s="586"/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86"/>
      <c r="P2" s="586"/>
    </row>
    <row r="3" spans="1:16" ht="18" customHeight="1" x14ac:dyDescent="0.25">
      <c r="A3" s="586" t="s">
        <v>290</v>
      </c>
      <c r="B3" s="586"/>
      <c r="C3" s="586"/>
      <c r="D3" s="586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  <c r="P3" s="586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2" t="s">
        <v>2</v>
      </c>
      <c r="B5" s="593"/>
      <c r="C5" s="593"/>
      <c r="D5" s="593"/>
      <c r="E5" s="593"/>
      <c r="F5" s="593"/>
      <c r="G5" s="594"/>
      <c r="H5" s="587" t="s">
        <v>3</v>
      </c>
      <c r="I5" s="589" t="s">
        <v>4</v>
      </c>
      <c r="J5" s="580"/>
      <c r="K5" s="581"/>
      <c r="L5" s="590" t="s">
        <v>5</v>
      </c>
      <c r="M5" s="581"/>
      <c r="N5" s="591" t="s">
        <v>6</v>
      </c>
      <c r="O5" s="580"/>
      <c r="P5" s="581"/>
    </row>
    <row r="6" spans="1:16" ht="21.75" customHeight="1" x14ac:dyDescent="0.25">
      <c r="A6" s="595"/>
      <c r="B6" s="596"/>
      <c r="C6" s="596"/>
      <c r="D6" s="596"/>
      <c r="E6" s="596"/>
      <c r="F6" s="596"/>
      <c r="G6" s="597"/>
      <c r="H6" s="58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5" t="s">
        <v>15</v>
      </c>
      <c r="B7" s="580"/>
      <c r="C7" s="580"/>
      <c r="D7" s="580"/>
      <c r="E7" s="580"/>
      <c r="F7" s="580"/>
      <c r="G7" s="58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4" t="s">
        <v>17</v>
      </c>
      <c r="E8" s="573"/>
      <c r="F8" s="573"/>
      <c r="G8" s="573"/>
      <c r="H8" s="20" t="s">
        <v>12</v>
      </c>
      <c r="I8" s="21"/>
      <c r="J8" s="21"/>
      <c r="K8" s="22"/>
      <c r="L8" s="23">
        <f t="shared" ref="L8:N8" ca="1" si="0">L9+L10</f>
        <v>2417438</v>
      </c>
      <c r="M8" s="23">
        <f t="shared" ca="1" si="0"/>
        <v>1997962</v>
      </c>
      <c r="N8" s="23">
        <f t="shared" ca="1" si="0"/>
        <v>2147656.08</v>
      </c>
      <c r="O8" s="22">
        <f t="shared" ref="O8:O16" ca="1" si="1">IF(L8&gt;0,N8*100/L8,0)</f>
        <v>88.840172116099765</v>
      </c>
      <c r="P8" s="22">
        <f t="shared" ref="P8:P16" ca="1" si="2">IF(M8&gt;0,N8*100/M8,0)</f>
        <v>107.4923386931283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2417438</v>
      </c>
      <c r="M10" s="30">
        <f t="shared" ca="1" si="4"/>
        <v>1997962</v>
      </c>
      <c r="N10" s="30">
        <f t="shared" ca="1" si="4"/>
        <v>2147656.08</v>
      </c>
      <c r="O10" s="29">
        <f t="shared" ca="1" si="1"/>
        <v>88.840172116099765</v>
      </c>
      <c r="P10" s="29">
        <f t="shared" ca="1" si="2"/>
        <v>107.4923386931283</v>
      </c>
    </row>
    <row r="11" spans="1:16" ht="21.75" customHeight="1" x14ac:dyDescent="0.3">
      <c r="A11" s="31"/>
      <c r="B11" s="32"/>
      <c r="C11" s="33" t="s">
        <v>16</v>
      </c>
      <c r="D11" s="574" t="s">
        <v>20</v>
      </c>
      <c r="E11" s="575"/>
      <c r="F11" s="57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2248438</v>
      </c>
      <c r="M12" s="38">
        <f t="shared" ca="1" si="6"/>
        <v>1828962</v>
      </c>
      <c r="N12" s="38">
        <f t="shared" ca="1" si="6"/>
        <v>1978656.08</v>
      </c>
      <c r="O12" s="38">
        <f t="shared" ca="1" si="1"/>
        <v>88.001362723810928</v>
      </c>
      <c r="P12" s="38">
        <f t="shared" ca="1" si="2"/>
        <v>108.1846468105953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1318552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929886</v>
      </c>
      <c r="M14" s="38">
        <f t="shared" si="8"/>
        <v>0</v>
      </c>
      <c r="N14" s="38">
        <f t="shared" ca="1" si="8"/>
        <v>402323.36</v>
      </c>
      <c r="O14" s="41">
        <f t="shared" ca="1" si="1"/>
        <v>43.265879903558073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4" t="s">
        <v>23</v>
      </c>
      <c r="E15" s="57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169000</v>
      </c>
      <c r="M16" s="38">
        <f t="shared" ca="1" si="10"/>
        <v>169000</v>
      </c>
      <c r="N16" s="38">
        <f t="shared" ca="1" si="10"/>
        <v>169000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85" t="s">
        <v>24</v>
      </c>
      <c r="B17" s="580"/>
      <c r="C17" s="580"/>
      <c r="D17" s="580"/>
      <c r="E17" s="580"/>
      <c r="F17" s="580"/>
      <c r="G17" s="58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4" t="s">
        <v>17</v>
      </c>
      <c r="E18" s="573"/>
      <c r="F18" s="573"/>
      <c r="G18" s="573"/>
      <c r="H18" s="20" t="s">
        <v>12</v>
      </c>
      <c r="I18" s="21"/>
      <c r="J18" s="21"/>
      <c r="K18" s="22"/>
      <c r="L18" s="23">
        <f t="shared" ref="L18:N18" ca="1" si="11">L19+L20</f>
        <v>1921462</v>
      </c>
      <c r="M18" s="23">
        <f t="shared" ca="1" si="11"/>
        <v>1997962</v>
      </c>
      <c r="N18" s="23">
        <f t="shared" ca="1" si="11"/>
        <v>1745332.72</v>
      </c>
      <c r="O18" s="22">
        <f t="shared" ref="O18:O20" ca="1" si="12">IF(L18&gt;0,N18*100/L18,0)</f>
        <v>90.833579847012331</v>
      </c>
      <c r="P18" s="22">
        <f t="shared" ref="P18:P26" ca="1" si="13">IF(M18&gt;0,N18*100/M18,0)</f>
        <v>87.355651408785548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1921462</v>
      </c>
      <c r="M20" s="30">
        <f t="shared" ca="1" si="15"/>
        <v>1997962</v>
      </c>
      <c r="N20" s="30">
        <f t="shared" ca="1" si="15"/>
        <v>1745332.72</v>
      </c>
      <c r="O20" s="29">
        <f t="shared" ca="1" si="12"/>
        <v>90.833579847012331</v>
      </c>
      <c r="P20" s="29">
        <f t="shared" ca="1" si="13"/>
        <v>87.355651408785548</v>
      </c>
    </row>
    <row r="21" spans="1:16" ht="21.75" customHeight="1" x14ac:dyDescent="0.3">
      <c r="A21" s="31"/>
      <c r="B21" s="32"/>
      <c r="C21" s="33" t="s">
        <v>16</v>
      </c>
      <c r="D21" s="574" t="s">
        <v>20</v>
      </c>
      <c r="E21" s="575"/>
      <c r="F21" s="575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1752462</v>
      </c>
      <c r="M22" s="42">
        <f t="shared" ca="1" si="18"/>
        <v>1828962</v>
      </c>
      <c r="N22" s="41">
        <f t="shared" ca="1" si="18"/>
        <v>1576332.72</v>
      </c>
      <c r="O22" s="41">
        <f t="shared" ca="1" si="17"/>
        <v>89.949609178401587</v>
      </c>
      <c r="P22" s="41">
        <f t="shared" ca="1" si="13"/>
        <v>86.18728655926148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1318552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433910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4" t="s">
        <v>23</v>
      </c>
      <c r="E25" s="575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169000</v>
      </c>
      <c r="M26" s="50">
        <f t="shared" ca="1" si="22"/>
        <v>169000</v>
      </c>
      <c r="N26" s="50">
        <f t="shared" ca="1" si="22"/>
        <v>169000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85" t="s">
        <v>25</v>
      </c>
      <c r="B27" s="580"/>
      <c r="C27" s="580"/>
      <c r="D27" s="580"/>
      <c r="E27" s="580"/>
      <c r="F27" s="580"/>
      <c r="G27" s="58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4" t="s">
        <v>17</v>
      </c>
      <c r="E28" s="573"/>
      <c r="F28" s="573"/>
      <c r="G28" s="573"/>
      <c r="H28" s="20" t="s">
        <v>12</v>
      </c>
      <c r="I28" s="21"/>
      <c r="J28" s="21"/>
      <c r="K28" s="22"/>
      <c r="L28" s="23">
        <f t="shared" ref="L28:N28" ca="1" si="23">L29+L30</f>
        <v>495976</v>
      </c>
      <c r="M28" s="23">
        <f t="shared" si="23"/>
        <v>0</v>
      </c>
      <c r="N28" s="23">
        <f t="shared" ca="1" si="23"/>
        <v>402323.36</v>
      </c>
      <c r="O28" s="22">
        <f t="shared" ref="O28:O30" ca="1" si="24">IF(L28&gt;0,N28*100/L28,0)</f>
        <v>81.117505685758985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495976</v>
      </c>
      <c r="M30" s="30">
        <f t="shared" si="27"/>
        <v>0</v>
      </c>
      <c r="N30" s="30">
        <f t="shared" ca="1" si="27"/>
        <v>402323.36</v>
      </c>
      <c r="O30" s="29">
        <f t="shared" ca="1" si="24"/>
        <v>81.117505685758985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4" t="s">
        <v>20</v>
      </c>
      <c r="E31" s="575"/>
      <c r="F31" s="575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495976</v>
      </c>
      <c r="M32" s="41">
        <f t="shared" si="30"/>
        <v>0</v>
      </c>
      <c r="N32" s="41">
        <f t="shared" ca="1" si="30"/>
        <v>402323.36</v>
      </c>
      <c r="O32" s="41">
        <f t="shared" ca="1" si="29"/>
        <v>81.117505685758985</v>
      </c>
      <c r="P32" s="41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495976</v>
      </c>
      <c r="M34" s="41">
        <f t="shared" si="32"/>
        <v>0</v>
      </c>
      <c r="N34" s="41">
        <f t="shared" ca="1" si="32"/>
        <v>402323.36</v>
      </c>
      <c r="O34" s="41">
        <f t="shared" ca="1" si="29"/>
        <v>81.117505685758985</v>
      </c>
      <c r="P34" s="41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4" t="s">
        <v>23</v>
      </c>
      <c r="E35" s="575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1921462</v>
      </c>
      <c r="M37" s="55">
        <f t="shared" ca="1" si="33"/>
        <v>1997962</v>
      </c>
      <c r="N37" s="55">
        <f t="shared" ca="1" si="33"/>
        <v>1745332.72</v>
      </c>
      <c r="O37" s="56">
        <f t="shared" ca="1" si="29"/>
        <v>90.833579847012331</v>
      </c>
      <c r="P37" s="56">
        <f t="shared" ca="1" si="25"/>
        <v>87.355651408785548</v>
      </c>
    </row>
    <row r="38" spans="1:16" ht="21.75" customHeight="1" x14ac:dyDescent="0.3">
      <c r="A38" s="579" t="s">
        <v>27</v>
      </c>
      <c r="B38" s="580"/>
      <c r="C38" s="580"/>
      <c r="D38" s="580"/>
      <c r="E38" s="580"/>
      <c r="F38" s="580"/>
      <c r="G38" s="581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82" t="s">
        <v>28</v>
      </c>
      <c r="C39" s="573"/>
      <c r="D39" s="573"/>
      <c r="E39" s="573"/>
      <c r="F39" s="573"/>
      <c r="G39" s="573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83" t="s">
        <v>17</v>
      </c>
      <c r="E41" s="575"/>
      <c r="F41" s="575"/>
      <c r="G41" s="575"/>
      <c r="H41" s="76" t="s">
        <v>12</v>
      </c>
      <c r="I41" s="77"/>
      <c r="J41" s="77"/>
      <c r="K41" s="78"/>
      <c r="L41" s="79">
        <f t="shared" ref="L41:N41" ca="1" si="34">L42+L43</f>
        <v>306800</v>
      </c>
      <c r="M41" s="79">
        <f t="shared" ca="1" si="34"/>
        <v>306800</v>
      </c>
      <c r="N41" s="79">
        <f t="shared" ca="1" si="34"/>
        <v>273573.95</v>
      </c>
      <c r="O41" s="78">
        <f t="shared" ref="O41:O43" ca="1" si="35">IF(L41&gt;0,N41*100/L41,0)</f>
        <v>89.170127118644061</v>
      </c>
      <c r="P41" s="78">
        <f t="shared" ref="P41:P43" ca="1" si="36">IF(M41&gt;0,N41*100/M41,0)</f>
        <v>89.170127118644061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306800</v>
      </c>
      <c r="M43" s="79">
        <f t="shared" ca="1" si="38"/>
        <v>306800</v>
      </c>
      <c r="N43" s="79">
        <f t="shared" ca="1" si="38"/>
        <v>273573.95</v>
      </c>
      <c r="O43" s="78">
        <f t="shared" ca="1" si="35"/>
        <v>89.170127118644061</v>
      </c>
      <c r="P43" s="78">
        <f t="shared" ca="1" si="36"/>
        <v>89.170127118644061</v>
      </c>
    </row>
    <row r="44" spans="1:16" ht="21.75" customHeight="1" x14ac:dyDescent="0.3">
      <c r="A44" s="80"/>
      <c r="B44" s="81"/>
      <c r="C44" s="82" t="s">
        <v>16</v>
      </c>
      <c r="D44" s="576" t="s">
        <v>20</v>
      </c>
      <c r="E44" s="575"/>
      <c r="F44" s="575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306800</v>
      </c>
      <c r="M45" s="91">
        <f ca="1">IFERROR(__xludf.DUMMYFUNCTION("IMPORTRANGE(""https://docs.google.com/spreadsheets/d/1Yj_ptqi66GCucihVvJfMjLAmec39IyEx_6qawtMGysU/edit?usp=sharing"",""สบก!Q93"")"),306800)</f>
        <v>306800</v>
      </c>
      <c r="N45" s="91">
        <f ca="1">IFERROR(__xludf.DUMMYFUNCTION("IMPORTRANGE(""https://docs.google.com/spreadsheets/d/1Yj_ptqi66GCucihVvJfMjLAmec39IyEx_6qawtMGysU/edit?usp=sharing"",""สบก!R93"")"),273573.95)</f>
        <v>273573.95</v>
      </c>
      <c r="O45" s="92">
        <f ca="1">IF(L45&gt;0,N45*100/L45,0)</f>
        <v>89.170127118644061</v>
      </c>
      <c r="P45" s="92">
        <f ca="1">IF(M45&gt;0,N45*100/M45,0)</f>
        <v>89.170127118644061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IFERROR(__xludf.DUMMYFUNCTION("IMPORTRANGE(""https://docs.google.com/spreadsheets/d/1Yj_ptqi66GCucihVvJfMjLAmec39IyEx_6qawtMGysU/edit?usp=sharing"",""สบก!M93"")"),306800)</f>
        <v>306800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IFERROR(__xludf.DUMMYFUNCTION("IMPORTRANGE(""https://docs.google.com/spreadsheets/d/1Yj_ptqi66GCucihVvJfMjLAmec39IyEx_6qawtMGysU/edit?usp=sharing"",""สบก!N93"")"),0)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6" t="s">
        <v>23</v>
      </c>
      <c r="E48" s="57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IFERROR(__xludf.DUMMYFUNCTION("IMPORTRANGE(""https://docs.google.com/spreadsheets/d/1Yj_ptqi66GCucihVvJfMjLAmec39IyEx_6qawtMGysU/edit?usp=sharing"",""สบก!O93"")"),0)</f>
        <v>0</v>
      </c>
      <c r="M49" s="101"/>
      <c r="N49" s="91">
        <f ca="1">IFERROR(__xludf.DUMMYFUNCTION("IMPORTRANGE(""https://docs.google.com/spreadsheets/d/1Yj_ptqi66GCucihVvJfMjLAmec39IyEx_6qawtMGysU/edit?usp=sharing"",""สบก!S93"")"),0)</f>
        <v>0</v>
      </c>
      <c r="O49" s="101">
        <f ca="1">IF(L49&gt;0,N49*100/L49,0)</f>
        <v>0</v>
      </c>
      <c r="P49" s="101"/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577" t="s">
        <v>32</v>
      </c>
      <c r="C52" s="575"/>
      <c r="D52" s="575"/>
      <c r="E52" s="575"/>
      <c r="F52" s="575"/>
      <c r="G52" s="575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578" t="s">
        <v>17</v>
      </c>
      <c r="E53" s="575"/>
      <c r="F53" s="575"/>
      <c r="G53" s="575"/>
      <c r="H53" s="122" t="s">
        <v>12</v>
      </c>
      <c r="I53" s="123"/>
      <c r="J53" s="123"/>
      <c r="K53" s="124"/>
      <c r="L53" s="125">
        <f t="shared" ref="L53:N53" ca="1" si="39">L54+L55</f>
        <v>348952</v>
      </c>
      <c r="M53" s="125">
        <f t="shared" ca="1" si="39"/>
        <v>348952</v>
      </c>
      <c r="N53" s="125">
        <f t="shared" ca="1" si="39"/>
        <v>301590</v>
      </c>
      <c r="O53" s="124">
        <f t="shared" ref="O53:O55" ca="1" si="40">IF(L53&gt;0,N53*100/L53,0)</f>
        <v>86.427359636855499</v>
      </c>
      <c r="P53" s="124">
        <f t="shared" ref="P53:P55" ca="1" si="41">IF(M53&gt;0,N53*100/M53,0)</f>
        <v>86.427359636855499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348952</v>
      </c>
      <c r="M55" s="125">
        <f t="shared" ca="1" si="43"/>
        <v>348952</v>
      </c>
      <c r="N55" s="125">
        <f t="shared" ca="1" si="43"/>
        <v>301590</v>
      </c>
      <c r="O55" s="124">
        <f t="shared" ca="1" si="40"/>
        <v>86.427359636855499</v>
      </c>
      <c r="P55" s="124">
        <f t="shared" ca="1" si="41"/>
        <v>86.427359636855499</v>
      </c>
    </row>
    <row r="56" spans="1:16" ht="21.75" customHeight="1" x14ac:dyDescent="0.3">
      <c r="A56" s="80"/>
      <c r="B56" s="81"/>
      <c r="C56" s="82" t="s">
        <v>16</v>
      </c>
      <c r="D56" s="576" t="s">
        <v>20</v>
      </c>
      <c r="E56" s="575"/>
      <c r="F56" s="575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348952</v>
      </c>
      <c r="M57" s="91">
        <f ca="1">IFERROR(__xludf.DUMMYFUNCTION("IMPORTRANGE(""https://docs.google.com/spreadsheets/d/1Yj_ptqi66GCucihVvJfMjLAmec39IyEx_6qawtMGysU/edit?usp=sharing"",""สบก!Z93"")"),348952)</f>
        <v>348952</v>
      </c>
      <c r="N57" s="91">
        <f ca="1">IFERROR(__xludf.DUMMYFUNCTION("IMPORTRANGE(""https://docs.google.com/spreadsheets/d/1Yj_ptqi66GCucihVvJfMjLAmec39IyEx_6qawtMGysU/edit?usp=sharing"",""สบก!AA93"")"),301590)</f>
        <v>301590</v>
      </c>
      <c r="O57" s="92">
        <f ca="1">IF(L57&gt;0,N57*100/L57,0)</f>
        <v>86.427359636855499</v>
      </c>
      <c r="P57" s="92">
        <f ca="1">IF(M57&gt;0,N57*100/M57,0)</f>
        <v>86.427359636855499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IFERROR(__xludf.DUMMYFUNCTION("IMPORTRANGE(""https://docs.google.com/spreadsheets/d/1Yj_ptqi66GCucihVvJfMjLAmec39IyEx_6qawtMGysU/edit?usp=sharing"",""สบก!V93"")"),348952)</f>
        <v>348952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IFERROR(__xludf.DUMMYFUNCTION("IMPORTRANGE(""https://docs.google.com/spreadsheets/d/1Yj_ptqi66GCucihVvJfMjLAmec39IyEx_6qawtMGysU/edit?usp=sharing"",""สบก!W93"")"),0)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6" t="s">
        <v>23</v>
      </c>
      <c r="E60" s="57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IFERROR(__xludf.DUMMYFUNCTION("IMPORTRANGE(""https://docs.google.com/spreadsheets/d/1Yj_ptqi66GCucihVvJfMjLAmec39IyEx_6qawtMGysU/edit?usp=sharing"",""สบก!X93"")"),0)</f>
        <v>0</v>
      </c>
      <c r="M61" s="101"/>
      <c r="N61" s="91">
        <f ca="1">IFERROR(__xludf.DUMMYFUNCTION("IMPORTRANGE(""https://docs.google.com/spreadsheets/d/1Yj_ptqi66GCucihVvJfMjLAmec39IyEx_6qawtMGysU/edit?usp=sharing"",""สบก!AB93"")"),0)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IFERROR(__xludf.DUMMYFUNCTION("IMPORTRANGE(""https://docs.google.com/spreadsheets/d/1IYY_tgx_IHuhSq3AJ5eI5OnqOPBNLWSHKh2a30DoXe8/edit?usp=sharing"",""สตูล!I9"")"),0)</f>
        <v>0</v>
      </c>
      <c r="J64" s="146">
        <f ca="1">IFERROR(__xludf.DUMMYFUNCTION("IMPORTRANGE(""https://docs.google.com/spreadsheets/d/1IYY_tgx_IHuhSq3AJ5eI5OnqOPBNLWSHKh2a30DoXe8/edit?usp=sharing"",""สตูล!J9"")"),0)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IFERROR(__xludf.DUMMYFUNCTION("IMPORTRANGE(""https://docs.google.com/spreadsheets/d/1IYY_tgx_IHuhSq3AJ5eI5OnqOPBNLWSHKh2a30DoXe8/edit?usp=sharing"",""สตูล!I10"")"),0)</f>
        <v>0</v>
      </c>
      <c r="J65" s="146">
        <f ca="1">IFERROR(__xludf.DUMMYFUNCTION("IMPORTRANGE(""https://docs.google.com/spreadsheets/d/1IYY_tgx_IHuhSq3AJ5eI5OnqOPBNLWSHKh2a30DoXe8/edit?usp=sharing"",""สตูล!J10"")"),0)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2" t="s">
        <v>17</v>
      </c>
      <c r="E66" s="573"/>
      <c r="F66" s="573"/>
      <c r="G66" s="573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3">
      <c r="A69" s="162"/>
      <c r="B69" s="163"/>
      <c r="C69" s="163" t="s">
        <v>16</v>
      </c>
      <c r="D69" s="574" t="s">
        <v>20</v>
      </c>
      <c r="E69" s="575"/>
      <c r="F69" s="575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IFERROR(__xludf.DUMMYFUNCTION("IMPORTRANGE(""https://docs.google.com/spreadsheets/d/1Yj_ptqi66GCucihVvJfMjLAmec39IyEx_6qawtMGysU/edit?usp=sharing"",""สบก!AI93"")"),0)</f>
        <v>0</v>
      </c>
      <c r="N70" s="174">
        <f ca="1">IFERROR(__xludf.DUMMYFUNCTION("IMPORTRANGE(""https://docs.google.com/spreadsheets/d/1Yj_ptqi66GCucihVvJfMjLAmec39IyEx_6qawtMGysU/edit?usp=sharing"",""สบก!AJ93"")"),0)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IFERROR(__xludf.DUMMYFUNCTION("IMPORTRANGE(""https://docs.google.com/spreadsheets/d/1Yj_ptqi66GCucihVvJfMjLAmec39IyEx_6qawtMGysU/edit?usp=sharing"",""สบก!AE93"")"),0)</f>
        <v>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IFERROR(__xludf.DUMMYFUNCTION("IMPORTRANGE(""https://docs.google.com/spreadsheets/d/1Yj_ptqi66GCucihVvJfMjLAmec39IyEx_6qawtMGysU/edit?usp=sharing"",""สบก!AF93"")"),0)</f>
        <v>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6" t="s">
        <v>23</v>
      </c>
      <c r="E73" s="575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IFERROR(__xludf.DUMMYFUNCTION("IMPORTRANGE(""https://docs.google.com/spreadsheets/d/1Yj_ptqi66GCucihVvJfMjLAmec39IyEx_6qawtMGysU/edit?usp=sharing"",""สบก!AG93"")"),0)</f>
        <v>0</v>
      </c>
      <c r="M74" s="101"/>
      <c r="N74" s="91">
        <f ca="1">IFERROR(__xludf.DUMMYFUNCTION("IMPORTRANGE(""https://docs.google.com/spreadsheets/d/1Yj_ptqi66GCucihVvJfMjLAmec39IyEx_6qawtMGysU/edit?usp=sharing"",""สบก!AK93"")"),0)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IFERROR(__xludf.DUMMYFUNCTION("IMPORTRANGE(""https://docs.google.com/spreadsheets/d/1IYY_tgx_IHuhSq3AJ5eI5OnqOPBNLWSHKh2a30DoXe8/edit?usp=sharing"",""สตูล!J16"")"),0)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IFERROR(__xludf.DUMMYFUNCTION("IMPORTRANGE(""https://docs.google.com/spreadsheets/d/1IYY_tgx_IHuhSq3AJ5eI5OnqOPBNLWSHKh2a30DoXe8/edit?usp=sharing"",""สตูล!J17"")"),0)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IFERROR(__xludf.DUMMYFUNCTION("IMPORTRANGE(""https://docs.google.com/spreadsheets/d/1IYY_tgx_IHuhSq3AJ5eI5OnqOPBNLWSHKh2a30DoXe8/edit?usp=sharing"",""สตูล!J18"")"),0)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IFERROR(__xludf.DUMMYFUNCTION("IMPORTRANGE(""https://docs.google.com/spreadsheets/d/1IYY_tgx_IHuhSq3AJ5eI5OnqOPBNLWSHKh2a30DoXe8/edit?usp=sharing"",""สตูล!J19"")"),0)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IFERROR(__xludf.DUMMYFUNCTION("IMPORTRANGE(""https://docs.google.com/spreadsheets/d/1IYY_tgx_IHuhSq3AJ5eI5OnqOPBNLWSHKh2a30DoXe8/edit?usp=sharing"",""สตูล!I20"")"),0)</f>
        <v>0</v>
      </c>
      <c r="J80" s="207">
        <f ca="1">IFERROR(__xludf.DUMMYFUNCTION("IMPORTRANGE(""https://docs.google.com/spreadsheets/d/1IYY_tgx_IHuhSq3AJ5eI5OnqOPBNLWSHKh2a30DoXe8/edit?usp=sharing"",""สตูล!J20"")"),0)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IFERROR(__xludf.DUMMYFUNCTION("IMPORTRANGE(""https://docs.google.com/spreadsheets/d/1IYY_tgx_IHuhSq3AJ5eI5OnqOPBNLWSHKh2a30DoXe8/edit?usp=sharing"",""สตูล!I21"")"),0)</f>
        <v>0</v>
      </c>
      <c r="J81" s="207">
        <f ca="1">IFERROR(__xludf.DUMMYFUNCTION("IMPORTRANGE(""https://docs.google.com/spreadsheets/d/1IYY_tgx_IHuhSq3AJ5eI5OnqOPBNLWSHKh2a30DoXe8/edit?usp=sharing"",""สตูล!J21"")"),0)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IFERROR(__xludf.DUMMYFUNCTION("IMPORTRANGE(""https://docs.google.com/spreadsheets/d/1IYY_tgx_IHuhSq3AJ5eI5OnqOPBNLWSHKh2a30DoXe8/edit?usp=sharing"",""สตูล!I22"")"),0)</f>
        <v>0</v>
      </c>
      <c r="J82" s="210">
        <f ca="1">IFERROR(__xludf.DUMMYFUNCTION("IMPORTRANGE(""https://docs.google.com/spreadsheets/d/1IYY_tgx_IHuhSq3AJ5eI5OnqOPBNLWSHKh2a30DoXe8/edit?usp=sharing"",""สตูล!J22"")"),0)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IFERROR(__xludf.DUMMYFUNCTION("IMPORTRANGE(""https://docs.google.com/spreadsheets/d/1IYY_tgx_IHuhSq3AJ5eI5OnqOPBNLWSHKh2a30DoXe8/edit?usp=sharing"",""สตูล!I23"")"),0)</f>
        <v>0</v>
      </c>
      <c r="J83" s="210">
        <f ca="1">IFERROR(__xludf.DUMMYFUNCTION("IMPORTRANGE(""https://docs.google.com/spreadsheets/d/1IYY_tgx_IHuhSq3AJ5eI5OnqOPBNLWSHKh2a30DoXe8/edit?usp=sharing"",""สตูล!J23"")"),0)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IFERROR(__xludf.DUMMYFUNCTION("IMPORTRANGE(""https://docs.google.com/spreadsheets/d/1IYY_tgx_IHuhSq3AJ5eI5OnqOPBNLWSHKh2a30DoXe8/edit?usp=sharing"",""สตูล!I24"")"),0)</f>
        <v>0</v>
      </c>
      <c r="J84" s="195">
        <f ca="1">IFERROR(__xludf.DUMMYFUNCTION("IMPORTRANGE(""https://docs.google.com/spreadsheets/d/1IYY_tgx_IHuhSq3AJ5eI5OnqOPBNLWSHKh2a30DoXe8/edit?usp=sharing"",""สตูล!J24"")"),0)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IFERROR(__xludf.DUMMYFUNCTION("IMPORTRANGE(""https://docs.google.com/spreadsheets/d/1IYY_tgx_IHuhSq3AJ5eI5OnqOPBNLWSHKh2a30DoXe8/edit?usp=sharing"",""สตูล!I25"")"),0)</f>
        <v>0</v>
      </c>
      <c r="J85" s="195">
        <f ca="1">IFERROR(__xludf.DUMMYFUNCTION("IMPORTRANGE(""https://docs.google.com/spreadsheets/d/1IYY_tgx_IHuhSq3AJ5eI5OnqOPBNLWSHKh2a30DoXe8/edit?usp=sharing"",""สตูล!J25"")"),0)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IFERROR(__xludf.DUMMYFUNCTION("IMPORTRANGE(""https://docs.google.com/spreadsheets/d/1IYY_tgx_IHuhSq3AJ5eI5OnqOPBNLWSHKh2a30DoXe8/edit?usp=sharing"",""สตูล!I26"")"),0)</f>
        <v>0</v>
      </c>
      <c r="J86" s="210">
        <f ca="1">IFERROR(__xludf.DUMMYFUNCTION("IMPORTRANGE(""https://docs.google.com/spreadsheets/d/1IYY_tgx_IHuhSq3AJ5eI5OnqOPBNLWSHKh2a30DoXe8/edit?usp=sharing"",""สตูล!J26"")"),0)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IFERROR(__xludf.DUMMYFUNCTION("IMPORTRANGE(""https://docs.google.com/spreadsheets/d/1IYY_tgx_IHuhSq3AJ5eI5OnqOPBNLWSHKh2a30DoXe8/edit?usp=sharing"",""สตูล!I27"")"),0)</f>
        <v>0</v>
      </c>
      <c r="J87" s="210">
        <f ca="1">IFERROR(__xludf.DUMMYFUNCTION("IMPORTRANGE(""https://docs.google.com/spreadsheets/d/1IYY_tgx_IHuhSq3AJ5eI5OnqOPBNLWSHKh2a30DoXe8/edit?usp=sharing"",""สตูล!J27"")"),0)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IFERROR(__xludf.DUMMYFUNCTION("IMPORTRANGE(""https://docs.google.com/spreadsheets/d/1IYY_tgx_IHuhSq3AJ5eI5OnqOPBNLWSHKh2a30DoXe8/edit?usp=sharing"",""สตูล!I28"")"),0)</f>
        <v>0</v>
      </c>
      <c r="J88" s="210">
        <f ca="1">IFERROR(__xludf.DUMMYFUNCTION("IMPORTRANGE(""https://docs.google.com/spreadsheets/d/1IYY_tgx_IHuhSq3AJ5eI5OnqOPBNLWSHKh2a30DoXe8/edit?usp=sharing"",""สตูล!J28"")"),0)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IFERROR(__xludf.DUMMYFUNCTION("IMPORTRANGE(""https://docs.google.com/spreadsheets/d/1IYY_tgx_IHuhSq3AJ5eI5OnqOPBNLWSHKh2a30DoXe8/edit?usp=sharing"",""สตูล!J29"")"),0)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IFERROR(__xludf.DUMMYFUNCTION("IMPORTRANGE(""https://docs.google.com/spreadsheets/d/1IYY_tgx_IHuhSq3AJ5eI5OnqOPBNLWSHKh2a30DoXe8/edit?usp=sharing"",""สตูล!J30"")"),0)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IFERROR(__xludf.DUMMYFUNCTION("IMPORTRANGE(""https://docs.google.com/spreadsheets/d/1IYY_tgx_IHuhSq3AJ5eI5OnqOPBNLWSHKh2a30DoXe8/edit?usp=sharing"",""สตูล!I32"")"),0)</f>
        <v>0</v>
      </c>
      <c r="J92" s="146">
        <f ca="1">IFERROR(__xludf.DUMMYFUNCTION("IMPORTRANGE(""https://docs.google.com/spreadsheets/d/1IYY_tgx_IHuhSq3AJ5eI5OnqOPBNLWSHKh2a30DoXe8/edit?usp=sharing"",""สตูล!J32"")"),0)</f>
        <v>0</v>
      </c>
      <c r="K92" s="147">
        <f t="shared" ref="K92:K93" ca="1" si="51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IFERROR(__xludf.DUMMYFUNCTION("IMPORTRANGE(""https://docs.google.com/spreadsheets/d/1IYY_tgx_IHuhSq3AJ5eI5OnqOPBNLWSHKh2a30DoXe8/edit?usp=sharing"",""สตูล!I33"")"),0)</f>
        <v>0</v>
      </c>
      <c r="J93" s="146">
        <f ca="1">IFERROR(__xludf.DUMMYFUNCTION("IMPORTRANGE(""https://docs.google.com/spreadsheets/d/1IYY_tgx_IHuhSq3AJ5eI5OnqOPBNLWSHKh2a30DoXe8/edit?usp=sharing"",""สตูล!J33"")"),0)</f>
        <v>0</v>
      </c>
      <c r="K93" s="147">
        <f t="shared" ca="1" si="51"/>
        <v>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2" t="s">
        <v>17</v>
      </c>
      <c r="E94" s="573"/>
      <c r="F94" s="573"/>
      <c r="G94" s="573"/>
      <c r="H94" s="153" t="s">
        <v>12</v>
      </c>
      <c r="I94" s="166"/>
      <c r="J94" s="166"/>
      <c r="K94" s="167"/>
      <c r="L94" s="156">
        <f t="shared" ref="L94:N94" ca="1" si="52">L95+L96</f>
        <v>0</v>
      </c>
      <c r="M94" s="156">
        <f t="shared" ca="1" si="52"/>
        <v>0</v>
      </c>
      <c r="N94" s="156">
        <f t="shared" ca="1" si="52"/>
        <v>0</v>
      </c>
      <c r="O94" s="155">
        <f t="shared" ref="O94:O96" ca="1" si="53">IF(L94&gt;0,N94*100/L94,0)</f>
        <v>0</v>
      </c>
      <c r="P94" s="155">
        <f t="shared" ref="P94:P96" ca="1" si="54">IF(M94&gt;0,N94*100/M94,0)</f>
        <v>0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0</v>
      </c>
      <c r="M96" s="161">
        <f t="shared" ca="1" si="56"/>
        <v>0</v>
      </c>
      <c r="N96" s="161">
        <f t="shared" ca="1" si="56"/>
        <v>0</v>
      </c>
      <c r="O96" s="160">
        <f t="shared" ca="1" si="53"/>
        <v>0</v>
      </c>
      <c r="P96" s="160">
        <f t="shared" ca="1" si="54"/>
        <v>0</v>
      </c>
    </row>
    <row r="97" spans="1:16" ht="21.75" customHeight="1" x14ac:dyDescent="0.3">
      <c r="A97" s="162"/>
      <c r="B97" s="163"/>
      <c r="C97" s="163" t="s">
        <v>16</v>
      </c>
      <c r="D97" s="574" t="s">
        <v>20</v>
      </c>
      <c r="E97" s="575"/>
      <c r="F97" s="575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0</v>
      </c>
      <c r="M98" s="173">
        <f ca="1">IFERROR(__xludf.DUMMYFUNCTION("IMPORTRANGE(""https://docs.google.com/spreadsheets/d/1Yj_ptqi66GCucihVvJfMjLAmec39IyEx_6qawtMGysU/edit?usp=sharing"",""สบก!AR93"")"),0)</f>
        <v>0</v>
      </c>
      <c r="N98" s="174">
        <f ca="1">IFERROR(__xludf.DUMMYFUNCTION("IMPORTRANGE(""https://docs.google.com/spreadsheets/d/1Yj_ptqi66GCucihVvJfMjLAmec39IyEx_6qawtMGysU/edit?usp=sharing"",""สบก!AS93"")"),0)</f>
        <v>0</v>
      </c>
      <c r="O98" s="175">
        <f ca="1">IF(L98&gt;0,N98*100/L98,0)</f>
        <v>0</v>
      </c>
      <c r="P98" s="175">
        <f ca="1">IF(M98&gt;0,N98*100/M98,0)</f>
        <v>0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IFERROR(__xludf.DUMMYFUNCTION("IMPORTRANGE(""https://docs.google.com/spreadsheets/d/1Yj_ptqi66GCucihVvJfMjLAmec39IyEx_6qawtMGysU/edit?usp=sharing"",""สบก!AN93"")"),0)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IFERROR(__xludf.DUMMYFUNCTION("IMPORTRANGE(""https://docs.google.com/spreadsheets/d/1Yj_ptqi66GCucihVvJfMjLAmec39IyEx_6qawtMGysU/edit?usp=sharing"",""สบก!AO93"")"),0)</f>
        <v>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6" t="s">
        <v>23</v>
      </c>
      <c r="E101" s="575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IFERROR(__xludf.DUMMYFUNCTION("IMPORTRANGE(""https://docs.google.com/spreadsheets/d/1Yj_ptqi66GCucihVvJfMjLAmec39IyEx_6qawtMGysU/edit?usp=sharing"",""สบก!AP93"")"),0)</f>
        <v>0</v>
      </c>
      <c r="M102" s="101"/>
      <c r="N102" s="91">
        <f ca="1">IFERROR(__xludf.DUMMYFUNCTION("IMPORTRANGE(""https://docs.google.com/spreadsheets/d/1Yj_ptqi66GCucihVvJfMjLAmec39IyEx_6qawtMGysU/edit?usp=sharing"",""สบก!AT93"")"),0)</f>
        <v>0</v>
      </c>
      <c r="O102" s="101">
        <f ca="1">IF(L102&gt;0,N102*100/L102,0)</f>
        <v>0</v>
      </c>
      <c r="P102" s="101"/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IFERROR(__xludf.DUMMYFUNCTION("IMPORTRANGE(""https://docs.google.com/spreadsheets/d/1IYY_tgx_IHuhSq3AJ5eI5OnqOPBNLWSHKh2a30DoXe8/edit?usp=sharing"",""สตูล!J39"")"),0)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IFERROR(__xludf.DUMMYFUNCTION("IMPORTRANGE(""https://docs.google.com/spreadsheets/d/1IYY_tgx_IHuhSq3AJ5eI5OnqOPBNLWSHKh2a30DoXe8/edit?usp=sharing"",""สตูล!J40"")"),0)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IFERROR(__xludf.DUMMYFUNCTION("IMPORTRANGE(""https://docs.google.com/spreadsheets/d/1IYY_tgx_IHuhSq3AJ5eI5OnqOPBNLWSHKh2a30DoXe8/edit?usp=sharing"",""สตูล!J41"")"),0)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IFERROR(__xludf.DUMMYFUNCTION("IMPORTRANGE(""https://docs.google.com/spreadsheets/d/1IYY_tgx_IHuhSq3AJ5eI5OnqOPBNLWSHKh2a30DoXe8/edit?usp=sharing"",""สตูล!J42"")"),0)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IFERROR(__xludf.DUMMYFUNCTION("IMPORTRANGE(""https://docs.google.com/spreadsheets/d/1IYY_tgx_IHuhSq3AJ5eI5OnqOPBNLWSHKh2a30DoXe8/edit?usp=sharing"",""สตูล!I43"")"),0)</f>
        <v>0</v>
      </c>
      <c r="J108" s="210">
        <f ca="1">IFERROR(__xludf.DUMMYFUNCTION("IMPORTRANGE(""https://docs.google.com/spreadsheets/d/1IYY_tgx_IHuhSq3AJ5eI5OnqOPBNLWSHKh2a30DoXe8/edit?usp=sharing"",""สตูล!J43"")"),0)</f>
        <v>0</v>
      </c>
      <c r="K108" s="230">
        <f t="shared" ref="K108:K113" ca="1" si="57">IF(I108&gt;0,J108*100/I108,0)</f>
        <v>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IFERROR(__xludf.DUMMYFUNCTION("IMPORTRANGE(""https://docs.google.com/spreadsheets/d/1IYY_tgx_IHuhSq3AJ5eI5OnqOPBNLWSHKh2a30DoXe8/edit?usp=sharing"",""สตูล!I44"")"),0)</f>
        <v>0</v>
      </c>
      <c r="J109" s="210">
        <f ca="1">IFERROR(__xludf.DUMMYFUNCTION("IMPORTRANGE(""https://docs.google.com/spreadsheets/d/1IYY_tgx_IHuhSq3AJ5eI5OnqOPBNLWSHKh2a30DoXe8/edit?usp=sharing"",""สตูล!J44"")"),0)</f>
        <v>0</v>
      </c>
      <c r="K109" s="230">
        <f t="shared" ca="1" si="57"/>
        <v>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IFERROR(__xludf.DUMMYFUNCTION("IMPORTRANGE(""https://docs.google.com/spreadsheets/d/1IYY_tgx_IHuhSq3AJ5eI5OnqOPBNLWSHKh2a30DoXe8/edit?usp=sharing"",""สตูล!I45"")"),0)</f>
        <v>0</v>
      </c>
      <c r="J110" s="210">
        <f ca="1">IFERROR(__xludf.DUMMYFUNCTION("IMPORTRANGE(""https://docs.google.com/spreadsheets/d/1IYY_tgx_IHuhSq3AJ5eI5OnqOPBNLWSHKh2a30DoXe8/edit?usp=sharing"",""สตูล!J45"")"),0)</f>
        <v>0</v>
      </c>
      <c r="K110" s="230">
        <f t="shared" ca="1" si="57"/>
        <v>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IFERROR(__xludf.DUMMYFUNCTION("IMPORTRANGE(""https://docs.google.com/spreadsheets/d/1IYY_tgx_IHuhSq3AJ5eI5OnqOPBNLWSHKh2a30DoXe8/edit?usp=sharing"",""สตูล!I46"")"),0)</f>
        <v>0</v>
      </c>
      <c r="J111" s="210">
        <f ca="1">IFERROR(__xludf.DUMMYFUNCTION("IMPORTRANGE(""https://docs.google.com/spreadsheets/d/1IYY_tgx_IHuhSq3AJ5eI5OnqOPBNLWSHKh2a30DoXe8/edit?usp=sharing"",""สตูล!J46"")"),0)</f>
        <v>0</v>
      </c>
      <c r="K111" s="230">
        <f t="shared" ca="1" si="57"/>
        <v>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IFERROR(__xludf.DUMMYFUNCTION("IMPORTRANGE(""https://docs.google.com/spreadsheets/d/1IYY_tgx_IHuhSq3AJ5eI5OnqOPBNLWSHKh2a30DoXe8/edit?usp=sharing"",""สตูล!I47"")"),0)</f>
        <v>0</v>
      </c>
      <c r="J112" s="210">
        <f ca="1">IFERROR(__xludf.DUMMYFUNCTION("IMPORTRANGE(""https://docs.google.com/spreadsheets/d/1IYY_tgx_IHuhSq3AJ5eI5OnqOPBNLWSHKh2a30DoXe8/edit?usp=sharing"",""สตูล!J47"")"),0)</f>
        <v>0</v>
      </c>
      <c r="K112" s="230">
        <f t="shared" ca="1" si="57"/>
        <v>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IFERROR(__xludf.DUMMYFUNCTION("IMPORTRANGE(""https://docs.google.com/spreadsheets/d/1IYY_tgx_IHuhSq3AJ5eI5OnqOPBNLWSHKh2a30DoXe8/edit?usp=sharing"",""สตูล!I48"")"),0)</f>
        <v>0</v>
      </c>
      <c r="J113" s="210">
        <f ca="1">IFERROR(__xludf.DUMMYFUNCTION("IMPORTRANGE(""https://docs.google.com/spreadsheets/d/1IYY_tgx_IHuhSq3AJ5eI5OnqOPBNLWSHKh2a30DoXe8/edit?usp=sharing"",""สตูล!J48"")"),0)</f>
        <v>0</v>
      </c>
      <c r="K113" s="230">
        <f t="shared" ca="1" si="57"/>
        <v>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IFERROR(__xludf.DUMMYFUNCTION("IMPORTRANGE(""https://docs.google.com/spreadsheets/d/1IYY_tgx_IHuhSq3AJ5eI5OnqOPBNLWSHKh2a30DoXe8/edit?usp=sharing"",""สตูล!J49"")"),0)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IFERROR(__xludf.DUMMYFUNCTION("IMPORTRANGE(""https://docs.google.com/spreadsheets/d/1IYY_tgx_IHuhSq3AJ5eI5OnqOPBNLWSHKh2a30DoXe8/edit?usp=sharing"",""สตูล!J50"")"),0)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IFERROR(__xludf.DUMMYFUNCTION("IMPORTRANGE(""https://docs.google.com/spreadsheets/d/1IYY_tgx_IHuhSq3AJ5eI5OnqOPBNLWSHKh2a30DoXe8/edit?usp=sharing"",""สตูล!I52"")"),15)</f>
        <v>15</v>
      </c>
      <c r="J117" s="146">
        <f ca="1">IFERROR(__xludf.DUMMYFUNCTION("IMPORTRANGE(""https://docs.google.com/spreadsheets/d/1IYY_tgx_IHuhSq3AJ5eI5OnqOPBNLWSHKh2a30DoXe8/edit?usp=sharing"",""สตูล!J52"")"),15)</f>
        <v>15</v>
      </c>
      <c r="K117" s="147">
        <f ca="1">IF(I117&gt;0,J117*100/I117,0)</f>
        <v>100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2" t="s">
        <v>17</v>
      </c>
      <c r="E118" s="573"/>
      <c r="F118" s="573"/>
      <c r="G118" s="573"/>
      <c r="H118" s="153" t="s">
        <v>12</v>
      </c>
      <c r="I118" s="166"/>
      <c r="J118" s="166"/>
      <c r="K118" s="167"/>
      <c r="L118" s="156">
        <f t="shared" ref="L118:N118" ca="1" si="58">L119+L120</f>
        <v>77590</v>
      </c>
      <c r="M118" s="156">
        <f t="shared" ca="1" si="58"/>
        <v>92590</v>
      </c>
      <c r="N118" s="156">
        <f t="shared" ca="1" si="58"/>
        <v>74706.34</v>
      </c>
      <c r="O118" s="155">
        <f t="shared" ref="O118:O120" ca="1" si="59">IF(L118&gt;0,N118*100/L118,0)</f>
        <v>96.283464363964427</v>
      </c>
      <c r="P118" s="155">
        <f t="shared" ref="P118:P120" ca="1" si="60">IF(M118&gt;0,N118*100/M118,0)</f>
        <v>80.685106382978717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77590</v>
      </c>
      <c r="M120" s="161">
        <f t="shared" ca="1" si="62"/>
        <v>92590</v>
      </c>
      <c r="N120" s="161">
        <f t="shared" ca="1" si="62"/>
        <v>74706.34</v>
      </c>
      <c r="O120" s="160">
        <f t="shared" ca="1" si="59"/>
        <v>96.283464363964427</v>
      </c>
      <c r="P120" s="160">
        <f t="shared" ca="1" si="60"/>
        <v>80.685106382978717</v>
      </c>
    </row>
    <row r="121" spans="1:16" ht="21.75" customHeight="1" x14ac:dyDescent="0.3">
      <c r="A121" s="162"/>
      <c r="B121" s="163"/>
      <c r="C121" s="163" t="s">
        <v>16</v>
      </c>
      <c r="D121" s="574" t="s">
        <v>20</v>
      </c>
      <c r="E121" s="575"/>
      <c r="F121" s="575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77590</v>
      </c>
      <c r="M122" s="173">
        <f ca="1">IFERROR(__xludf.DUMMYFUNCTION("IMPORTRANGE(""https://docs.google.com/spreadsheets/d/1Yj_ptqi66GCucihVvJfMjLAmec39IyEx_6qawtMGysU/edit?usp=sharing"",""สบก!BA93"")"),92590)</f>
        <v>92590</v>
      </c>
      <c r="N122" s="174">
        <f ca="1">IFERROR(__xludf.DUMMYFUNCTION("IMPORTRANGE(""https://docs.google.com/spreadsheets/d/1Yj_ptqi66GCucihVvJfMjLAmec39IyEx_6qawtMGysU/edit?usp=sharing"",""สบก!BB93"")"),74706.34)</f>
        <v>74706.34</v>
      </c>
      <c r="O122" s="175">
        <f ca="1">IF(L122&gt;0,N122*100/L122,0)</f>
        <v>96.283464363964427</v>
      </c>
      <c r="P122" s="175">
        <f ca="1">IF(M122&gt;0,N122*100/M122,0)</f>
        <v>80.685106382978717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IFERROR(__xludf.DUMMYFUNCTION("IMPORTRANGE(""https://docs.google.com/spreadsheets/d/1Yj_ptqi66GCucihVvJfMjLAmec39IyEx_6qawtMGysU/edit?usp=sharing"",""สบก!AW93"")"),0)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IFERROR(__xludf.DUMMYFUNCTION("IMPORTRANGE(""https://docs.google.com/spreadsheets/d/1Yj_ptqi66GCucihVvJfMjLAmec39IyEx_6qawtMGysU/edit?usp=sharing"",""สบก!AX93"")"),77590)</f>
        <v>77590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6" t="s">
        <v>23</v>
      </c>
      <c r="E125" s="575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IFERROR(__xludf.DUMMYFUNCTION("IMPORTRANGE(""https://docs.google.com/spreadsheets/d/1Yj_ptqi66GCucihVvJfMjLAmec39IyEx_6qawtMGysU/edit?usp=sharing"",""สบก!AY93"")"),0)</f>
        <v>0</v>
      </c>
      <c r="M126" s="101"/>
      <c r="N126" s="91">
        <f ca="1">IFERROR(__xludf.DUMMYFUNCTION("IMPORTRANGE(""https://docs.google.com/spreadsheets/d/1Yj_ptqi66GCucihVvJfMjLAmec39IyEx_6qawtMGysU/edit?usp=sharing"",""สบก!BC93"")"),0)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287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IFERROR(__xludf.DUMMYFUNCTION("IMPORTRANGE(""https://docs.google.com/spreadsheets/d/1IYY_tgx_IHuhSq3AJ5eI5OnqOPBNLWSHKh2a30DoXe8/edit?usp=sharing"",""สตูล!J58"")"),0)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IFERROR(__xludf.DUMMYFUNCTION("IMPORTRANGE(""https://docs.google.com/spreadsheets/d/1IYY_tgx_IHuhSq3AJ5eI5OnqOPBNLWSHKh2a30DoXe8/edit?usp=sharing"",""สตูล!J59"")"),1)</f>
        <v>1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IFERROR(__xludf.DUMMYFUNCTION("IMPORTRANGE(""https://docs.google.com/spreadsheets/d/1IYY_tgx_IHuhSq3AJ5eI5OnqOPBNLWSHKh2a30DoXe8/edit?usp=sharing"",""สตูล!J60"")"),1)</f>
        <v>1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IFERROR(__xludf.DUMMYFUNCTION("IMPORTRANGE(""https://docs.google.com/spreadsheets/d/1IYY_tgx_IHuhSq3AJ5eI5OnqOPBNLWSHKh2a30DoXe8/edit?usp=sharing"",""สตูล!J61"")"),1)</f>
        <v>1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IFERROR(__xludf.DUMMYFUNCTION("IMPORTRANGE(""https://docs.google.com/spreadsheets/d/1IYY_tgx_IHuhSq3AJ5eI5OnqOPBNLWSHKh2a30DoXe8/edit?usp=sharing"",""สตูล!I62"")"),15)</f>
        <v>15</v>
      </c>
      <c r="J132" s="210">
        <f ca="1">IFERROR(__xludf.DUMMYFUNCTION("IMPORTRANGE(""https://docs.google.com/spreadsheets/d/1IYY_tgx_IHuhSq3AJ5eI5OnqOPBNLWSHKh2a30DoXe8/edit?usp=sharing"",""สตูล!J62"")"),15)</f>
        <v>15</v>
      </c>
      <c r="K132" s="230">
        <f t="shared" ref="K132:K133" ca="1" si="63">IF(I132&gt;0,J132*100/I132,0)</f>
        <v>100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IFERROR(__xludf.DUMMYFUNCTION("IMPORTRANGE(""https://docs.google.com/spreadsheets/d/1IYY_tgx_IHuhSq3AJ5eI5OnqOPBNLWSHKh2a30DoXe8/edit?usp=sharing"",""สตูล!I63"")"),15)</f>
        <v>15</v>
      </c>
      <c r="J133" s="210">
        <f ca="1">IFERROR(__xludf.DUMMYFUNCTION("IMPORTRANGE(""https://docs.google.com/spreadsheets/d/1IYY_tgx_IHuhSq3AJ5eI5OnqOPBNLWSHKh2a30DoXe8/edit?usp=sharing"",""สตูล!J63"")"),15)</f>
        <v>15</v>
      </c>
      <c r="K133" s="230">
        <f t="shared" ca="1" si="63"/>
        <v>100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IFERROR(__xludf.DUMMYFUNCTION("IMPORTRANGE(""https://docs.google.com/spreadsheets/d/1IYY_tgx_IHuhSq3AJ5eI5OnqOPBNLWSHKh2a30DoXe8/edit?usp=sharing"",""สตูล!J64"")"),0)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IFERROR(__xludf.DUMMYFUNCTION("IMPORTRANGE(""https://docs.google.com/spreadsheets/d/1IYY_tgx_IHuhSq3AJ5eI5OnqOPBNLWSHKh2a30DoXe8/edit?usp=sharing"",""สตูล!J65"")"),0)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IFERROR(__xludf.DUMMYFUNCTION("IMPORTRANGE(""https://docs.google.com/spreadsheets/d/1IYY_tgx_IHuhSq3AJ5eI5OnqOPBNLWSHKh2a30DoXe8/edit?usp=sharing"",""สตูล!I68"")"),0)</f>
        <v>0</v>
      </c>
      <c r="J138" s="273">
        <f ca="1">IFERROR(__xludf.DUMMYFUNCTION("IMPORTRANGE(""https://docs.google.com/spreadsheets/d/1IYY_tgx_IHuhSq3AJ5eI5OnqOPBNLWSHKh2a30DoXe8/edit?usp=sharing"",""สตูล!J68"")"),0)</f>
        <v>0</v>
      </c>
      <c r="K138" s="274">
        <f ca="1">IF(I138&gt;0,J138*100/I138,0)</f>
        <v>0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2" t="s">
        <v>17</v>
      </c>
      <c r="E140" s="573"/>
      <c r="F140" s="573"/>
      <c r="G140" s="573"/>
      <c r="H140" s="153" t="s">
        <v>12</v>
      </c>
      <c r="I140" s="166"/>
      <c r="J140" s="166"/>
      <c r="K140" s="167"/>
      <c r="L140" s="156">
        <f t="shared" ref="L140:N140" ca="1" si="64">L141+L142</f>
        <v>50700</v>
      </c>
      <c r="M140" s="156">
        <f t="shared" ca="1" si="64"/>
        <v>50700</v>
      </c>
      <c r="N140" s="156">
        <f t="shared" ca="1" si="64"/>
        <v>49735</v>
      </c>
      <c r="O140" s="155">
        <f t="shared" ref="O140:O142" ca="1" si="65">IF(L140&gt;0,N140*100/L140,0)</f>
        <v>98.096646942800788</v>
      </c>
      <c r="P140" s="155">
        <f t="shared" ref="P140:P142" ca="1" si="66">IF(M140&gt;0,N140*100/M140,0)</f>
        <v>98.096646942800788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50700</v>
      </c>
      <c r="M142" s="161">
        <f t="shared" ca="1" si="68"/>
        <v>50700</v>
      </c>
      <c r="N142" s="161">
        <f t="shared" ca="1" si="68"/>
        <v>49735</v>
      </c>
      <c r="O142" s="160">
        <f t="shared" ca="1" si="65"/>
        <v>98.096646942800788</v>
      </c>
      <c r="P142" s="160">
        <f t="shared" ca="1" si="66"/>
        <v>98.096646942800788</v>
      </c>
    </row>
    <row r="143" spans="1:16" ht="21.75" customHeight="1" x14ac:dyDescent="0.3">
      <c r="A143" s="162"/>
      <c r="B143" s="163"/>
      <c r="C143" s="163" t="s">
        <v>16</v>
      </c>
      <c r="D143" s="574" t="s">
        <v>20</v>
      </c>
      <c r="E143" s="575"/>
      <c r="F143" s="575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50700</v>
      </c>
      <c r="M144" s="173">
        <f ca="1">IFERROR(__xludf.DUMMYFUNCTION("IMPORTRANGE(""https://docs.google.com/spreadsheets/d/1Yj_ptqi66GCucihVvJfMjLAmec39IyEx_6qawtMGysU/edit?usp=sharing"",""สบก!BJ93"")"),50700)</f>
        <v>50700</v>
      </c>
      <c r="N144" s="174">
        <f ca="1">IFERROR(__xludf.DUMMYFUNCTION("IMPORTRANGE(""https://docs.google.com/spreadsheets/d/1Yj_ptqi66GCucihVvJfMjLAmec39IyEx_6qawtMGysU/edit?usp=sharing"",""สบก!BK93"")"),49735)</f>
        <v>49735</v>
      </c>
      <c r="O144" s="175">
        <f ca="1">IF(L144&gt;0,N144*100/L144,0)</f>
        <v>98.096646942800788</v>
      </c>
      <c r="P144" s="175">
        <f ca="1">IF(M144&gt;0,N144*100/M144,0)</f>
        <v>98.096646942800788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IFERROR(__xludf.DUMMYFUNCTION("IMPORTRANGE(""https://docs.google.com/spreadsheets/d/1Yj_ptqi66GCucihVvJfMjLAmec39IyEx_6qawtMGysU/edit?usp=sharing"",""สบก!BF93"")"),0)</f>
        <v>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IFERROR(__xludf.DUMMYFUNCTION("IMPORTRANGE(""https://docs.google.com/spreadsheets/d/1Yj_ptqi66GCucihVvJfMjLAmec39IyEx_6qawtMGysU/edit?usp=sharing"",""สบก!BG93"")"),50700)</f>
        <v>50700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6" t="s">
        <v>23</v>
      </c>
      <c r="E147" s="575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IFERROR(__xludf.DUMMYFUNCTION("IMPORTRANGE(""https://docs.google.com/spreadsheets/d/1Yj_ptqi66GCucihVvJfMjLAmec39IyEx_6qawtMGysU/edit?usp=sharing"",""สบก!BH93"")"),0)</f>
        <v>0</v>
      </c>
      <c r="M148" s="101"/>
      <c r="N148" s="91">
        <f ca="1">IFERROR(__xludf.DUMMYFUNCTION("IMPORTRANGE(""https://docs.google.com/spreadsheets/d/1Yj_ptqi66GCucihVvJfMjLAmec39IyEx_6qawtMGysU/edit?usp=sharing"",""สบก!BL93"")"),0)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IFERROR(__xludf.DUMMYFUNCTION("IMPORTRANGE(""https://docs.google.com/spreadsheets/d/1IYY_tgx_IHuhSq3AJ5eI5OnqOPBNLWSHKh2a30DoXe8/edit?usp=sharing"",""สตูล!I74"")"),4)</f>
        <v>4</v>
      </c>
      <c r="J149" s="281">
        <f ca="1">IFERROR(__xludf.DUMMYFUNCTION("IMPORTRANGE(""https://docs.google.com/spreadsheets/d/1IYY_tgx_IHuhSq3AJ5eI5OnqOPBNLWSHKh2a30DoXe8/edit?usp=sharing"",""สตูล!J74"")"),4)</f>
        <v>4</v>
      </c>
      <c r="K149" s="282">
        <f ca="1">IF(I149&gt;0,J149*100/I149,0)</f>
        <v>100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IFERROR(__xludf.DUMMYFUNCTION("IMPORTRANGE(""https://docs.google.com/spreadsheets/d/1IYY_tgx_IHuhSq3AJ5eI5OnqOPBNLWSHKh2a30DoXe8/edit?usp=sharing"",""สตูล!J79"")"),0)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IFERROR(__xludf.DUMMYFUNCTION("IMPORTRANGE(""https://docs.google.com/spreadsheets/d/1IYY_tgx_IHuhSq3AJ5eI5OnqOPBNLWSHKh2a30DoXe8/edit?usp=sharing"",""สตูล!J80"")"),1)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IFERROR(__xludf.DUMMYFUNCTION("IMPORTRANGE(""https://docs.google.com/spreadsheets/d/1IYY_tgx_IHuhSq3AJ5eI5OnqOPBNLWSHKh2a30DoXe8/edit?usp=sharing"",""สตูล!J81"")"),1)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IFERROR(__xludf.DUMMYFUNCTION("IMPORTRANGE(""https://docs.google.com/spreadsheets/d/1IYY_tgx_IHuhSq3AJ5eI5OnqOPBNLWSHKh2a30DoXe8/edit?usp=sharing"",""สตูล!J82"")"),1)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IFERROR(__xludf.DUMMYFUNCTION("IMPORTRANGE(""https://docs.google.com/spreadsheets/d/1IYY_tgx_IHuhSq3AJ5eI5OnqOPBNLWSHKh2a30DoXe8/edit?usp=sharing"",""สตูล!I83"")"),4)</f>
        <v>4</v>
      </c>
      <c r="J158" s="195">
        <f ca="1">IFERROR(__xludf.DUMMYFUNCTION("IMPORTRANGE(""https://docs.google.com/spreadsheets/d/1IYY_tgx_IHuhSq3AJ5eI5OnqOPBNLWSHKh2a30DoXe8/edit?usp=sharing"",""สตูล!J83"")"),4)</f>
        <v>4</v>
      </c>
      <c r="K158" s="167">
        <f ca="1">IF(I158&gt;0,J158*100/I158,0)</f>
        <v>100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IFERROR(__xludf.DUMMYFUNCTION("IMPORTRANGE(""https://docs.google.com/spreadsheets/d/1IYY_tgx_IHuhSq3AJ5eI5OnqOPBNLWSHKh2a30DoXe8/edit?usp=sharing"",""สตูล!J84"")"),100)</f>
        <v>100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IFERROR(__xludf.DUMMYFUNCTION("IMPORTRANGE(""https://docs.google.com/spreadsheets/d/1IYY_tgx_IHuhSq3AJ5eI5OnqOPBNLWSHKh2a30DoXe8/edit?usp=sharing"",""สตูล!J85"")"),100)</f>
        <v>100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IFERROR(__xludf.DUMMYFUNCTION("IMPORTRANGE(""https://docs.google.com/spreadsheets/d/1IYY_tgx_IHuhSq3AJ5eI5OnqOPBNLWSHKh2a30DoXe8/edit?usp=sharing"",""สตูล!J86"")"),0)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IFERROR(__xludf.DUMMYFUNCTION("IMPORTRANGE(""https://docs.google.com/spreadsheets/d/1IYY_tgx_IHuhSq3AJ5eI5OnqOPBNLWSHKh2a30DoXe8/edit?usp=sharing"",""สตูล!J87"")"),0)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IFERROR(__xludf.DUMMYFUNCTION("IMPORTRANGE(""https://docs.google.com/spreadsheets/d/1IYY_tgx_IHuhSq3AJ5eI5OnqOPBNLWSHKh2a30DoXe8/edit?usp=sharing"",""สตูล!J88"")"),0)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IFERROR(__xludf.DUMMYFUNCTION("IMPORTRANGE(""https://docs.google.com/spreadsheets/d/1IYY_tgx_IHuhSq3AJ5eI5OnqOPBNLWSHKh2a30DoXe8/edit?usp=sharing"",""สตูล!I89"")"),2)</f>
        <v>2</v>
      </c>
      <c r="J164" s="290">
        <f ca="1">IFERROR(__xludf.DUMMYFUNCTION("IMPORTRANGE(""https://docs.google.com/spreadsheets/d/1IYY_tgx_IHuhSq3AJ5eI5OnqOPBNLWSHKh2a30DoXe8/edit?usp=sharing"",""สตูล!J89"")"),2)</f>
        <v>2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IFERROR(__xludf.DUMMYFUNCTION("IMPORTRANGE(""https://docs.google.com/spreadsheets/d/1IYY_tgx_IHuhSq3AJ5eI5OnqOPBNLWSHKh2a30DoXe8/edit?usp=sharing"",""สตูล!J94"")"),0)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IFERROR(__xludf.DUMMYFUNCTION("IMPORTRANGE(""https://docs.google.com/spreadsheets/d/1IYY_tgx_IHuhSq3AJ5eI5OnqOPBNLWSHKh2a30DoXe8/edit?usp=sharing"",""สตูล!J95"")"),1)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IFERROR(__xludf.DUMMYFUNCTION("IMPORTRANGE(""https://docs.google.com/spreadsheets/d/1IYY_tgx_IHuhSq3AJ5eI5OnqOPBNLWSHKh2a30DoXe8/edit?usp=sharing"",""สตูล!J96"")"),1)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IFERROR(__xludf.DUMMYFUNCTION("IMPORTRANGE(""https://docs.google.com/spreadsheets/d/1IYY_tgx_IHuhSq3AJ5eI5OnqOPBNLWSHKh2a30DoXe8/edit?usp=sharing"",""สตูล!J97"")"),1)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IFERROR(__xludf.DUMMYFUNCTION("IMPORTRANGE(""https://docs.google.com/spreadsheets/d/1IYY_tgx_IHuhSq3AJ5eI5OnqOPBNLWSHKh2a30DoXe8/edit?usp=sharing"",""สตูล!I98"")"),2)</f>
        <v>2</v>
      </c>
      <c r="J173" s="195">
        <f ca="1">IFERROR(__xludf.DUMMYFUNCTION("IMPORTRANGE(""https://docs.google.com/spreadsheets/d/1IYY_tgx_IHuhSq3AJ5eI5OnqOPBNLWSHKh2a30DoXe8/edit?usp=sharing"",""สตูล!J98"")"),2)</f>
        <v>2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IFERROR(__xludf.DUMMYFUNCTION("IMPORTRANGE(""https://docs.google.com/spreadsheets/d/1IYY_tgx_IHuhSq3AJ5eI5OnqOPBNLWSHKh2a30DoXe8/edit?usp=sharing"",""สตูล!J99"")"),0)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IFERROR(__xludf.DUMMYFUNCTION("IMPORTRANGE(""https://docs.google.com/spreadsheets/d/1IYY_tgx_IHuhSq3AJ5eI5OnqOPBNLWSHKh2a30DoXe8/edit?usp=sharing"",""สตูล!J100"")"),0)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IFERROR(__xludf.DUMMYFUNCTION("IMPORTRANGE(""https://docs.google.com/spreadsheets/d/1IYY_tgx_IHuhSq3AJ5eI5OnqOPBNLWSHKh2a30DoXe8/edit?usp=sharing"",""สตูล!I101"")"),0)</f>
        <v>0</v>
      </c>
      <c r="J176" s="290">
        <f ca="1">IFERROR(__xludf.DUMMYFUNCTION("IMPORTRANGE(""https://docs.google.com/spreadsheets/d/1IYY_tgx_IHuhSq3AJ5eI5OnqOPBNLWSHKh2a30DoXe8/edit?usp=sharing"",""สตูล!J101"")"),0)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IFERROR(__xludf.DUMMYFUNCTION("IMPORTRANGE(""https://docs.google.com/spreadsheets/d/1IYY_tgx_IHuhSq3AJ5eI5OnqOPBNLWSHKh2a30DoXe8/edit?usp=sharing"",""สตูล!J106"")"),0)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IFERROR(__xludf.DUMMYFUNCTION("IMPORTRANGE(""https://docs.google.com/spreadsheets/d/1IYY_tgx_IHuhSq3AJ5eI5OnqOPBNLWSHKh2a30DoXe8/edit?usp=sharing"",""สตูล!J107"")"),0)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IFERROR(__xludf.DUMMYFUNCTION("IMPORTRANGE(""https://docs.google.com/spreadsheets/d/1IYY_tgx_IHuhSq3AJ5eI5OnqOPBNLWSHKh2a30DoXe8/edit?usp=sharing"",""สตูล!J108"")"),0)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IFERROR(__xludf.DUMMYFUNCTION("IMPORTRANGE(""https://docs.google.com/spreadsheets/d/1IYY_tgx_IHuhSq3AJ5eI5OnqOPBNLWSHKh2a30DoXe8/edit?usp=sharing"",""สตูล!J109"")"),0)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IFERROR(__xludf.DUMMYFUNCTION("IMPORTRANGE(""https://docs.google.com/spreadsheets/d/1IYY_tgx_IHuhSq3AJ5eI5OnqOPBNLWSHKh2a30DoXe8/edit?usp=sharing"",""สตูล!I110"")"),0)</f>
        <v>0</v>
      </c>
      <c r="J185" s="210">
        <f ca="1">IFERROR(__xludf.DUMMYFUNCTION("IMPORTRANGE(""https://docs.google.com/spreadsheets/d/1IYY_tgx_IHuhSq3AJ5eI5OnqOPBNLWSHKh2a30DoXe8/edit?usp=sharing"",""สตูล!J110"")"),0)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IFERROR(__xludf.DUMMYFUNCTION("IMPORTRANGE(""https://docs.google.com/spreadsheets/d/1IYY_tgx_IHuhSq3AJ5eI5OnqOPBNLWSHKh2a30DoXe8/edit?usp=sharing"",""สตูล!I111"")"),0)</f>
        <v>0</v>
      </c>
      <c r="J186" s="210">
        <f ca="1">IFERROR(__xludf.DUMMYFUNCTION("IMPORTRANGE(""https://docs.google.com/spreadsheets/d/1IYY_tgx_IHuhSq3AJ5eI5OnqOPBNLWSHKh2a30DoXe8/edit?usp=sharing"",""สตูล!J111"")"),0)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IFERROR(__xludf.DUMMYFUNCTION("IMPORTRANGE(""https://docs.google.com/spreadsheets/d/1IYY_tgx_IHuhSq3AJ5eI5OnqOPBNLWSHKh2a30DoXe8/edit?usp=sharing"",""สตูล!J112"")"),0)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IFERROR(__xludf.DUMMYFUNCTION("IMPORTRANGE(""https://docs.google.com/spreadsheets/d/1IYY_tgx_IHuhSq3AJ5eI5OnqOPBNLWSHKh2a30DoXe8/edit?usp=sharing"",""สตูล!J113"")"),0)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IFERROR(__xludf.DUMMYFUNCTION("IMPORTRANGE(""https://docs.google.com/spreadsheets/d/1IYY_tgx_IHuhSq3AJ5eI5OnqOPBNLWSHKh2a30DoXe8/edit?usp=sharing"",""สตูล!I114"")"),6400)</f>
        <v>6400</v>
      </c>
      <c r="J189" s="290">
        <f ca="1">IFERROR(__xludf.DUMMYFUNCTION("IMPORTRANGE(""https://docs.google.com/spreadsheets/d/1IYY_tgx_IHuhSq3AJ5eI5OnqOPBNLWSHKh2a30DoXe8/edit?usp=sharing"",""สตูล!J114"")"),6400)</f>
        <v>6400</v>
      </c>
      <c r="K189" s="291">
        <f ca="1">IF(I189&gt;0,J189*100/I189,0)</f>
        <v>100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IFERROR(__xludf.DUMMYFUNCTION("IMPORTRANGE(""https://docs.google.com/spreadsheets/d/1IYY_tgx_IHuhSq3AJ5eI5OnqOPBNLWSHKh2a30DoXe8/edit?usp=sharing"",""สตูล!J119"")"),1)</f>
        <v>1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IFERROR(__xludf.DUMMYFUNCTION("IMPORTRANGE(""https://docs.google.com/spreadsheets/d/1IYY_tgx_IHuhSq3AJ5eI5OnqOPBNLWSHKh2a30DoXe8/edit?usp=sharing"",""สตูล!J120"")"),0)</f>
        <v>0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IFERROR(__xludf.DUMMYFUNCTION("IMPORTRANGE(""https://docs.google.com/spreadsheets/d/1IYY_tgx_IHuhSq3AJ5eI5OnqOPBNLWSHKh2a30DoXe8/edit?usp=sharing"",""สตูล!J121"")"),0)</f>
        <v>0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IFERROR(__xludf.DUMMYFUNCTION("IMPORTRANGE(""https://docs.google.com/spreadsheets/d/1IYY_tgx_IHuhSq3AJ5eI5OnqOPBNLWSHKh2a30DoXe8/edit?usp=sharing"",""สตูล!J122"")"),0)</f>
        <v>0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IFERROR(__xludf.DUMMYFUNCTION("IMPORTRANGE(""https://docs.google.com/spreadsheets/d/1IYY_tgx_IHuhSq3AJ5eI5OnqOPBNLWSHKh2a30DoXe8/edit?usp=sharing"",""สตูล!I124"")"),6400)</f>
        <v>6400</v>
      </c>
      <c r="J199" s="195">
        <f ca="1">IFERROR(__xludf.DUMMYFUNCTION("IMPORTRANGE(""https://docs.google.com/spreadsheets/d/1IYY_tgx_IHuhSq3AJ5eI5OnqOPBNLWSHKh2a30DoXe8/edit?usp=sharing"",""สตูล!J124"")"),6400)</f>
        <v>6400</v>
      </c>
      <c r="K199" s="167">
        <f t="shared" ref="K199:K201" ca="1" si="70">IF(I199&gt;0,J199*100/I199,0)</f>
        <v>100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IFERROR(__xludf.DUMMYFUNCTION("IMPORTRANGE(""https://docs.google.com/spreadsheets/d/1IYY_tgx_IHuhSq3AJ5eI5OnqOPBNLWSHKh2a30DoXe8/edit?usp=sharing"",""สตูล!I125"")"),6400)</f>
        <v>6400</v>
      </c>
      <c r="J200" s="195">
        <f ca="1">IFERROR(__xludf.DUMMYFUNCTION("IMPORTRANGE(""https://docs.google.com/spreadsheets/d/1IYY_tgx_IHuhSq3AJ5eI5OnqOPBNLWSHKh2a30DoXe8/edit?usp=sharing"",""สตูล!J125"")"),6400)</f>
        <v>6400</v>
      </c>
      <c r="K200" s="167">
        <f t="shared" ca="1" si="70"/>
        <v>100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IFERROR(__xludf.DUMMYFUNCTION("IMPORTRANGE(""https://docs.google.com/spreadsheets/d/1IYY_tgx_IHuhSq3AJ5eI5OnqOPBNLWSHKh2a30DoXe8/edit?usp=sharing"",""สตูล!I126"")"),0)</f>
        <v>0</v>
      </c>
      <c r="J201" s="195">
        <f ca="1">IFERROR(__xludf.DUMMYFUNCTION("IMPORTRANGE(""https://docs.google.com/spreadsheets/d/1IYY_tgx_IHuhSq3AJ5eI5OnqOPBNLWSHKh2a30DoXe8/edit?usp=sharing"",""สตูล!J126"")"),0)</f>
        <v>0</v>
      </c>
      <c r="K201" s="167">
        <f t="shared" ca="1" si="70"/>
        <v>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IFERROR(__xludf.DUMMYFUNCTION("IMPORTRANGE(""https://docs.google.com/spreadsheets/d/1IYY_tgx_IHuhSq3AJ5eI5OnqOPBNLWSHKh2a30DoXe8/edit?usp=sharing"",""สตูล!J127"")"),0)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IFERROR(__xludf.DUMMYFUNCTION("IMPORTRANGE(""https://docs.google.com/spreadsheets/d/1IYY_tgx_IHuhSq3AJ5eI5OnqOPBNLWSHKh2a30DoXe8/edit?usp=sharing"",""สตูล!J128"")"),0)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IFERROR(__xludf.DUMMYFUNCTION("IMPORTRANGE(""https://docs.google.com/spreadsheets/d/1IYY_tgx_IHuhSq3AJ5eI5OnqOPBNLWSHKh2a30DoXe8/edit?usp=sharing"",""สตูล!I129"")"),0)</f>
        <v>0</v>
      </c>
      <c r="J204" s="290">
        <f ca="1">IFERROR(__xludf.DUMMYFUNCTION("IMPORTRANGE(""https://docs.google.com/spreadsheets/d/1IYY_tgx_IHuhSq3AJ5eI5OnqOPBNLWSHKh2a30DoXe8/edit?usp=sharing"",""สตูล!J129"")"),0)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IFERROR(__xludf.DUMMYFUNCTION("IMPORTRANGE(""https://docs.google.com/spreadsheets/d/1IYY_tgx_IHuhSq3AJ5eI5OnqOPBNLWSHKh2a30DoXe8/edit?usp=sharing"",""สตูล!J134"")"),0)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IFERROR(__xludf.DUMMYFUNCTION("IMPORTRANGE(""https://docs.google.com/spreadsheets/d/1IYY_tgx_IHuhSq3AJ5eI5OnqOPBNLWSHKh2a30DoXe8/edit?usp=sharing"",""สตูล!J135"")"),0)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IFERROR(__xludf.DUMMYFUNCTION("IMPORTRANGE(""https://docs.google.com/spreadsheets/d/1IYY_tgx_IHuhSq3AJ5eI5OnqOPBNLWSHKh2a30DoXe8/edit?usp=sharing"",""สตูล!J136"")"),0)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IFERROR(__xludf.DUMMYFUNCTION("IMPORTRANGE(""https://docs.google.com/spreadsheets/d/1IYY_tgx_IHuhSq3AJ5eI5OnqOPBNLWSHKh2a30DoXe8/edit?usp=sharing"",""สตูล!J137"")"),0)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IFERROR(__xludf.DUMMYFUNCTION("IMPORTRANGE(""https://docs.google.com/spreadsheets/d/1IYY_tgx_IHuhSq3AJ5eI5OnqOPBNLWSHKh2a30DoXe8/edit?usp=sharing"",""สตูล!I138"")"),0)</f>
        <v>0</v>
      </c>
      <c r="J213" s="210">
        <f ca="1">IFERROR(__xludf.DUMMYFUNCTION("IMPORTRANGE(""https://docs.google.com/spreadsheets/d/1IYY_tgx_IHuhSq3AJ5eI5OnqOPBNLWSHKh2a30DoXe8/edit?usp=sharing"",""สตูล!J138"")"),0)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IFERROR(__xludf.DUMMYFUNCTION("IMPORTRANGE(""https://docs.google.com/spreadsheets/d/1IYY_tgx_IHuhSq3AJ5eI5OnqOPBNLWSHKh2a30DoXe8/edit?usp=sharing"",""สตูล!I140"")"),0)</f>
        <v>0</v>
      </c>
      <c r="J215" s="210">
        <f ca="1">IFERROR(__xludf.DUMMYFUNCTION("IMPORTRANGE(""https://docs.google.com/spreadsheets/d/1IYY_tgx_IHuhSq3AJ5eI5OnqOPBNLWSHKh2a30DoXe8/edit?usp=sharing"",""สตูล!J140"")"),0)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IFERROR(__xludf.DUMMYFUNCTION("IMPORTRANGE(""https://docs.google.com/spreadsheets/d/1IYY_tgx_IHuhSq3AJ5eI5OnqOPBNLWSHKh2a30DoXe8/edit?usp=sharing"",""สตูล!I141"")"),0)</f>
        <v>0</v>
      </c>
      <c r="J216" s="210">
        <f ca="1">IFERROR(__xludf.DUMMYFUNCTION("IMPORTRANGE(""https://docs.google.com/spreadsheets/d/1IYY_tgx_IHuhSq3AJ5eI5OnqOPBNLWSHKh2a30DoXe8/edit?usp=sharing"",""สตูล!J141"")"),0)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IFERROR(__xludf.DUMMYFUNCTION("IMPORTRANGE(""https://docs.google.com/spreadsheets/d/1IYY_tgx_IHuhSq3AJ5eI5OnqOPBNLWSHKh2a30DoXe8/edit?usp=sharing"",""สตูล!J142"")"),0)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IFERROR(__xludf.DUMMYFUNCTION("IMPORTRANGE(""https://docs.google.com/spreadsheets/d/1IYY_tgx_IHuhSq3AJ5eI5OnqOPBNLWSHKh2a30DoXe8/edit?usp=sharing"",""สตูล!J143"")"),0)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IFERROR(__xludf.DUMMYFUNCTION("IMPORTRANGE(""https://docs.google.com/spreadsheets/d/1IYY_tgx_IHuhSq3AJ5eI5OnqOPBNLWSHKh2a30DoXe8/edit?usp=sharing"",""สตูล!I144"")"),18)</f>
        <v>18</v>
      </c>
      <c r="J219" s="273">
        <f ca="1">IFERROR(__xludf.DUMMYFUNCTION("IMPORTRANGE(""https://docs.google.com/spreadsheets/d/1IYY_tgx_IHuhSq3AJ5eI5OnqOPBNLWSHKh2a30DoXe8/edit?usp=sharing"",""สตูล!J144"")"),18)</f>
        <v>18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2" t="s">
        <v>17</v>
      </c>
      <c r="E220" s="573"/>
      <c r="F220" s="573"/>
      <c r="G220" s="573"/>
      <c r="H220" s="153" t="s">
        <v>12</v>
      </c>
      <c r="I220" s="166"/>
      <c r="J220" s="166"/>
      <c r="K220" s="167"/>
      <c r="L220" s="156">
        <f t="shared" ref="L220:N220" ca="1" si="72">L221+L222</f>
        <v>23870</v>
      </c>
      <c r="M220" s="156">
        <f t="shared" ca="1" si="72"/>
        <v>23870</v>
      </c>
      <c r="N220" s="156">
        <f t="shared" ca="1" si="72"/>
        <v>23870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23870</v>
      </c>
      <c r="M222" s="161">
        <f t="shared" ca="1" si="76"/>
        <v>23870</v>
      </c>
      <c r="N222" s="161">
        <f t="shared" ca="1" si="76"/>
        <v>23870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3">
      <c r="A223" s="162"/>
      <c r="B223" s="163"/>
      <c r="C223" s="163" t="s">
        <v>16</v>
      </c>
      <c r="D223" s="574" t="s">
        <v>20</v>
      </c>
      <c r="E223" s="575"/>
      <c r="F223" s="575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23870</v>
      </c>
      <c r="M224" s="173">
        <f ca="1">IFERROR(__xludf.DUMMYFUNCTION("IMPORTRANGE(""https://docs.google.com/spreadsheets/d/1Yj_ptqi66GCucihVvJfMjLAmec39IyEx_6qawtMGysU/edit?usp=sharing"",""สบก!BS93"")"),23870)</f>
        <v>23870</v>
      </c>
      <c r="N224" s="174">
        <f ca="1">IFERROR(__xludf.DUMMYFUNCTION("IMPORTRANGE(""https://docs.google.com/spreadsheets/d/1Yj_ptqi66GCucihVvJfMjLAmec39IyEx_6qawtMGysU/edit?usp=sharing"",""สบก!BT93"")"),23870)</f>
        <v>23870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IFERROR(__xludf.DUMMYFUNCTION("IMPORTRANGE(""https://docs.google.com/spreadsheets/d/1Yj_ptqi66GCucihVvJfMjLAmec39IyEx_6qawtMGysU/edit?usp=sharing"",""สบก!BO93"")"),0)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IFERROR(__xludf.DUMMYFUNCTION("IMPORTRANGE(""https://docs.google.com/spreadsheets/d/1Yj_ptqi66GCucihVvJfMjLAmec39IyEx_6qawtMGysU/edit?usp=sharing"",""สบก!BP93"")"),23870)</f>
        <v>23870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6" t="s">
        <v>23</v>
      </c>
      <c r="E227" s="575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IFERROR(__xludf.DUMMYFUNCTION("IMPORTRANGE(""https://docs.google.com/spreadsheets/d/1Yj_ptqi66GCucihVvJfMjLAmec39IyEx_6qawtMGysU/edit?usp=sharing"",""สบก!BQ93"")"),0)</f>
        <v>0</v>
      </c>
      <c r="M228" s="101"/>
      <c r="N228" s="91">
        <f ca="1">IFERROR(__xludf.DUMMYFUNCTION("IMPORTRANGE(""https://docs.google.com/spreadsheets/d/1Yj_ptqi66GCucihVvJfMjLAmec39IyEx_6qawtMGysU/edit?usp=sharing"",""สบก!BU93"")"),0)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IFERROR(__xludf.DUMMYFUNCTION("IMPORTRANGE(""https://docs.google.com/spreadsheets/d/1IYY_tgx_IHuhSq3AJ5eI5OnqOPBNLWSHKh2a30DoXe8/edit?usp=sharing"",""สตูล!I149"")"),18)</f>
        <v>18</v>
      </c>
      <c r="J229" s="273">
        <f ca="1">IFERROR(__xludf.DUMMYFUNCTION("IMPORTRANGE(""https://docs.google.com/spreadsheets/d/1IYY_tgx_IHuhSq3AJ5eI5OnqOPBNLWSHKh2a30DoXe8/edit?usp=sharing"",""สตูล!J149"")"),18)</f>
        <v>18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IFERROR(__xludf.DUMMYFUNCTION("IMPORTRANGE(""https://docs.google.com/spreadsheets/d/1IYY_tgx_IHuhSq3AJ5eI5OnqOPBNLWSHKh2a30DoXe8/edit?usp=sharing"",""สตูล!J151"")"),0)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IFERROR(__xludf.DUMMYFUNCTION("IMPORTRANGE(""https://docs.google.com/spreadsheets/d/1IYY_tgx_IHuhSq3AJ5eI5OnqOPBNLWSHKh2a30DoXe8/edit?usp=sharing"",""สตูล!J152"")"),1)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IFERROR(__xludf.DUMMYFUNCTION("IMPORTRANGE(""https://docs.google.com/spreadsheets/d/1IYY_tgx_IHuhSq3AJ5eI5OnqOPBNLWSHKh2a30DoXe8/edit?usp=sharing"",""สตูล!J153"")"),1)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IFERROR(__xludf.DUMMYFUNCTION("IMPORTRANGE(""https://docs.google.com/spreadsheets/d/1IYY_tgx_IHuhSq3AJ5eI5OnqOPBNLWSHKh2a30DoXe8/edit?usp=sharing"",""สตูล!J154"")"),1)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IFERROR(__xludf.DUMMYFUNCTION("IMPORTRANGE(""https://docs.google.com/spreadsheets/d/1IYY_tgx_IHuhSq3AJ5eI5OnqOPBNLWSHKh2a30DoXe8/edit?usp=sharing"",""สตูล!I155"")"),18)</f>
        <v>18</v>
      </c>
      <c r="J235" s="195">
        <f ca="1">IFERROR(__xludf.DUMMYFUNCTION("IMPORTRANGE(""https://docs.google.com/spreadsheets/d/1IYY_tgx_IHuhSq3AJ5eI5OnqOPBNLWSHKh2a30DoXe8/edit?usp=sharing"",""สตูล!J155"")"),18)</f>
        <v>18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IFERROR(__xludf.DUMMYFUNCTION("IMPORTRANGE(""https://docs.google.com/spreadsheets/d/1IYY_tgx_IHuhSq3AJ5eI5OnqOPBNLWSHKh2a30DoXe8/edit?usp=sharing"",""สตูล!J156"")"),0)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IFERROR(__xludf.DUMMYFUNCTION("IMPORTRANGE(""https://docs.google.com/spreadsheets/d/1IYY_tgx_IHuhSq3AJ5eI5OnqOPBNLWSHKh2a30DoXe8/edit?usp=sharing"",""สตูล!J157"")"),0)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IFERROR(__xludf.DUMMYFUNCTION("IMPORTRANGE(""https://docs.google.com/spreadsheets/d/1IYY_tgx_IHuhSq3AJ5eI5OnqOPBNLWSHKh2a30DoXe8/edit?usp=sharing"",""สตูล!I158"")"),0)</f>
        <v>0</v>
      </c>
      <c r="J238" s="273">
        <f ca="1">IFERROR(__xludf.DUMMYFUNCTION("IMPORTRANGE(""https://docs.google.com/spreadsheets/d/1IYY_tgx_IHuhSq3AJ5eI5OnqOPBNLWSHKh2a30DoXe8/edit?usp=sharing"",""สตูล!J158"")"),0)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IFERROR(__xludf.DUMMYFUNCTION("IMPORTRANGE(""https://docs.google.com/spreadsheets/d/1IYY_tgx_IHuhSq3AJ5eI5OnqOPBNLWSHKh2a30DoXe8/edit?usp=sharing"",""สตูล!J159"")"),"")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IFERROR(__xludf.DUMMYFUNCTION("IMPORTRANGE(""https://docs.google.com/spreadsheets/d/1IYY_tgx_IHuhSq3AJ5eI5OnqOPBNLWSHKh2a30DoXe8/edit?usp=sharing"",""สตูล!J161"")"),0)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IFERROR(__xludf.DUMMYFUNCTION("IMPORTRANGE(""https://docs.google.com/spreadsheets/d/1IYY_tgx_IHuhSq3AJ5eI5OnqOPBNLWSHKh2a30DoXe8/edit?usp=sharing"",""สตูล!J162"")"),0)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IFERROR(__xludf.DUMMYFUNCTION("IMPORTRANGE(""https://docs.google.com/spreadsheets/d/1IYY_tgx_IHuhSq3AJ5eI5OnqOPBNLWSHKh2a30DoXe8/edit?usp=sharing"",""สตูล!J163"")"),0)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IFERROR(__xludf.DUMMYFUNCTION("IMPORTRANGE(""https://docs.google.com/spreadsheets/d/1IYY_tgx_IHuhSq3AJ5eI5OnqOPBNLWSHKh2a30DoXe8/edit?usp=sharing"",""สตูล!I164"")"),0)</f>
        <v>0</v>
      </c>
      <c r="J244" s="194">
        <f ca="1">IFERROR(__xludf.DUMMYFUNCTION("IMPORTRANGE(""https://docs.google.com/spreadsheets/d/1IYY_tgx_IHuhSq3AJ5eI5OnqOPBNLWSHKh2a30DoXe8/edit?usp=sharing"",""สตูล!J164"")"),0)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IFERROR(__xludf.DUMMYFUNCTION("IMPORTRANGE(""https://docs.google.com/spreadsheets/d/1IYY_tgx_IHuhSq3AJ5eI5OnqOPBNLWSHKh2a30DoXe8/edit?usp=sharing"",""สตูล!J165"")"),0)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IFERROR(__xludf.DUMMYFUNCTION("IMPORTRANGE(""https://docs.google.com/spreadsheets/d/1IYY_tgx_IHuhSq3AJ5eI5OnqOPBNLWSHKh2a30DoXe8/edit?usp=sharing"",""สตูล!J166"")"),0)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IFERROR(__xludf.DUMMYFUNCTION("IMPORTRANGE(""https://docs.google.com/spreadsheets/d/1IYY_tgx_IHuhSq3AJ5eI5OnqOPBNLWSHKh2a30DoXe8/edit?usp=sharing"",""สตูล!I169"")"),0)</f>
        <v>0</v>
      </c>
      <c r="J249" s="322">
        <f ca="1">IFERROR(__xludf.DUMMYFUNCTION("IMPORTRANGE(""https://docs.google.com/spreadsheets/d/1IYY_tgx_IHuhSq3AJ5eI5OnqOPBNLWSHKh2a30DoXe8/edit?usp=sharing"",""สตูล!J169"")"),0)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2" t="s">
        <v>17</v>
      </c>
      <c r="E250" s="573"/>
      <c r="F250" s="573"/>
      <c r="G250" s="573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3">
      <c r="A253" s="162"/>
      <c r="B253" s="163"/>
      <c r="C253" s="163" t="s">
        <v>16</v>
      </c>
      <c r="D253" s="574" t="s">
        <v>20</v>
      </c>
      <c r="E253" s="575"/>
      <c r="F253" s="575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IFERROR(__xludf.DUMMYFUNCTION("IMPORTRANGE(""https://docs.google.com/spreadsheets/d/1Yj_ptqi66GCucihVvJfMjLAmec39IyEx_6qawtMGysU/edit?usp=sharing"",""สบก!CB93"")"),0)</f>
        <v>0</v>
      </c>
      <c r="N254" s="174">
        <f ca="1">IFERROR(__xludf.DUMMYFUNCTION("IMPORTRANGE(""https://docs.google.com/spreadsheets/d/1Yj_ptqi66GCucihVvJfMjLAmec39IyEx_6qawtMGysU/edit?usp=sharing"",""สบก!CC93"")"),0)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IFERROR(__xludf.DUMMYFUNCTION("IMPORTRANGE(""https://docs.google.com/spreadsheets/d/1Yj_ptqi66GCucihVvJfMjLAmec39IyEx_6qawtMGysU/edit?usp=sharing"",""สบก!BX93"")"),0)</f>
        <v>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IFERROR(__xludf.DUMMYFUNCTION("IMPORTRANGE(""https://docs.google.com/spreadsheets/d/1Yj_ptqi66GCucihVvJfMjLAmec39IyEx_6qawtMGysU/edit?usp=sharing"",""สบก!BY93"")"),0)</f>
        <v>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6" t="s">
        <v>23</v>
      </c>
      <c r="E257" s="575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IFERROR(__xludf.DUMMYFUNCTION("IMPORTRANGE(""https://docs.google.com/spreadsheets/d/1Yj_ptqi66GCucihVvJfMjLAmec39IyEx_6qawtMGysU/edit?usp=sharing"",""สบก!BZ93"")"),0)</f>
        <v>0</v>
      </c>
      <c r="M258" s="101"/>
      <c r="N258" s="91">
        <f ca="1">IFERROR(__xludf.DUMMYFUNCTION("IMPORTRANGE(""https://docs.google.com/spreadsheets/d/1Yj_ptqi66GCucihVvJfMjLAmec39IyEx_6qawtMGysU/edit?usp=sharing"",""สบก!CD93"")"),0)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IFERROR(__xludf.DUMMYFUNCTION("IMPORTRANGE(""https://docs.google.com/spreadsheets/d/1IYY_tgx_IHuhSq3AJ5eI5OnqOPBNLWSHKh2a30DoXe8/edit?usp=sharing"",""สตูล!J175"")"),0)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IFERROR(__xludf.DUMMYFUNCTION("IMPORTRANGE(""https://docs.google.com/spreadsheets/d/1IYY_tgx_IHuhSq3AJ5eI5OnqOPBNLWSHKh2a30DoXe8/edit?usp=sharing"",""สตูล!J176"")"),0)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IFERROR(__xludf.DUMMYFUNCTION("IMPORTRANGE(""https://docs.google.com/spreadsheets/d/1IYY_tgx_IHuhSq3AJ5eI5OnqOPBNLWSHKh2a30DoXe8/edit?usp=sharing"",""สตูล!J177"")"),0)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IFERROR(__xludf.DUMMYFUNCTION("IMPORTRANGE(""https://docs.google.com/spreadsheets/d/1IYY_tgx_IHuhSq3AJ5eI5OnqOPBNLWSHKh2a30DoXe8/edit?usp=sharing"",""สตูล!J178"")"),0)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IFERROR(__xludf.DUMMYFUNCTION("IMPORTRANGE(""https://docs.google.com/spreadsheets/d/1IYY_tgx_IHuhSq3AJ5eI5OnqOPBNLWSHKh2a30DoXe8/edit?usp=sharing"",""สตูล!I179"")"),0)</f>
        <v>0</v>
      </c>
      <c r="J264" s="195">
        <f ca="1">IFERROR(__xludf.DUMMYFUNCTION("IMPORTRANGE(""https://docs.google.com/spreadsheets/d/1IYY_tgx_IHuhSq3AJ5eI5OnqOPBNLWSHKh2a30DoXe8/edit?usp=sharing"",""สตูล!J179"")"),0)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IFERROR(__xludf.DUMMYFUNCTION("IMPORTRANGE(""https://docs.google.com/spreadsheets/d/1IYY_tgx_IHuhSq3AJ5eI5OnqOPBNLWSHKh2a30DoXe8/edit?usp=sharing"",""สตูล!I180"")"),0)</f>
        <v>0</v>
      </c>
      <c r="J265" s="195">
        <f ca="1">IFERROR(__xludf.DUMMYFUNCTION("IMPORTRANGE(""https://docs.google.com/spreadsheets/d/1IYY_tgx_IHuhSq3AJ5eI5OnqOPBNLWSHKh2a30DoXe8/edit?usp=sharing"",""สตูล!J180"")"),0)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IFERROR(__xludf.DUMMYFUNCTION("IMPORTRANGE(""https://docs.google.com/spreadsheets/d/1IYY_tgx_IHuhSq3AJ5eI5OnqOPBNLWSHKh2a30DoXe8/edit?usp=sharing"",""สตูล!I181"")"),0)</f>
        <v>0</v>
      </c>
      <c r="J266" s="195">
        <f ca="1">IFERROR(__xludf.DUMMYFUNCTION("IMPORTRANGE(""https://docs.google.com/spreadsheets/d/1IYY_tgx_IHuhSq3AJ5eI5OnqOPBNLWSHKh2a30DoXe8/edit?usp=sharing"",""สตูล!J181"")"),0)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IFERROR(__xludf.DUMMYFUNCTION("IMPORTRANGE(""https://docs.google.com/spreadsheets/d/1IYY_tgx_IHuhSq3AJ5eI5OnqOPBNLWSHKh2a30DoXe8/edit?usp=sharing"",""สตูล!I182"")"),0)</f>
        <v>0</v>
      </c>
      <c r="J267" s="195">
        <f ca="1">IFERROR(__xludf.DUMMYFUNCTION("IMPORTRANGE(""https://docs.google.com/spreadsheets/d/1IYY_tgx_IHuhSq3AJ5eI5OnqOPBNLWSHKh2a30DoXe8/edit?usp=sharing"",""สตูล!J182"")"),0)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IFERROR(__xludf.DUMMYFUNCTION("IMPORTRANGE(""https://docs.google.com/spreadsheets/d/1IYY_tgx_IHuhSq3AJ5eI5OnqOPBNLWSHKh2a30DoXe8/edit?usp=sharing"",""สตูล!J183"")"),0)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IFERROR(__xludf.DUMMYFUNCTION("IMPORTRANGE(""https://docs.google.com/spreadsheets/d/1IYY_tgx_IHuhSq3AJ5eI5OnqOPBNLWSHKh2a30DoXe8/edit?usp=sharing"",""สตูล!J184"")"),0)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IFERROR(__xludf.DUMMYFUNCTION("IMPORTRANGE(""https://docs.google.com/spreadsheets/d/1IYY_tgx_IHuhSq3AJ5eI5OnqOPBNLWSHKh2a30DoXe8/edit?usp=sharing"",""สตูล!I185"")"),15)</f>
        <v>15</v>
      </c>
      <c r="J270" s="322">
        <f ca="1">IFERROR(__xludf.DUMMYFUNCTION("IMPORTRANGE(""https://docs.google.com/spreadsheets/d/1IYY_tgx_IHuhSq3AJ5eI5OnqOPBNLWSHKh2a30DoXe8/edit?usp=sharing"",""สตูล!J185"")"),15)</f>
        <v>15</v>
      </c>
      <c r="K270" s="323">
        <f ca="1">IF(I270&gt;0,J270*100/I270,0)</f>
        <v>100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2" t="s">
        <v>17</v>
      </c>
      <c r="E271" s="573"/>
      <c r="F271" s="573"/>
      <c r="G271" s="573"/>
      <c r="H271" s="153" t="s">
        <v>12</v>
      </c>
      <c r="I271" s="166"/>
      <c r="J271" s="166"/>
      <c r="K271" s="167"/>
      <c r="L271" s="156">
        <f t="shared" ref="L271:N271" ca="1" si="83">L272+L273</f>
        <v>187200</v>
      </c>
      <c r="M271" s="156">
        <f t="shared" ca="1" si="83"/>
        <v>187200</v>
      </c>
      <c r="N271" s="156">
        <f t="shared" ca="1" si="83"/>
        <v>156948</v>
      </c>
      <c r="O271" s="155">
        <f t="shared" ref="O271:O273" ca="1" si="84">IF(L271&gt;0,N271*100/L271,0)</f>
        <v>83.839743589743591</v>
      </c>
      <c r="P271" s="155">
        <f t="shared" ref="P271:P273" ca="1" si="85">IF(M271&gt;0,N271*100/M271,0)</f>
        <v>83.839743589743591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187200</v>
      </c>
      <c r="M273" s="161">
        <f t="shared" ca="1" si="87"/>
        <v>187200</v>
      </c>
      <c r="N273" s="161">
        <f t="shared" ca="1" si="87"/>
        <v>156948</v>
      </c>
      <c r="O273" s="160">
        <f t="shared" ca="1" si="84"/>
        <v>83.839743589743591</v>
      </c>
      <c r="P273" s="160">
        <f t="shared" ca="1" si="85"/>
        <v>83.839743589743591</v>
      </c>
    </row>
    <row r="274" spans="1:16" ht="21.75" customHeight="1" x14ac:dyDescent="0.3">
      <c r="A274" s="162"/>
      <c r="B274" s="163"/>
      <c r="C274" s="163" t="s">
        <v>16</v>
      </c>
      <c r="D274" s="574" t="s">
        <v>20</v>
      </c>
      <c r="E274" s="575"/>
      <c r="F274" s="575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187200</v>
      </c>
      <c r="M275" s="173">
        <f ca="1">IFERROR(__xludf.DUMMYFUNCTION("IMPORTRANGE(""https://docs.google.com/spreadsheets/d/1Yj_ptqi66GCucihVvJfMjLAmec39IyEx_6qawtMGysU/edit?usp=sharing"",""สบก!CK93"")"),187200)</f>
        <v>187200</v>
      </c>
      <c r="N275" s="174">
        <f ca="1">IFERROR(__xludf.DUMMYFUNCTION("IMPORTRANGE(""https://docs.google.com/spreadsheets/d/1Yj_ptqi66GCucihVvJfMjLAmec39IyEx_6qawtMGysU/edit?usp=sharing"",""สบก!CL93"")"),156948)</f>
        <v>156948</v>
      </c>
      <c r="O275" s="175">
        <f ca="1">IF(L275&gt;0,N275*100/L275,0)</f>
        <v>83.839743589743591</v>
      </c>
      <c r="P275" s="175">
        <f ca="1">IF(M275&gt;0,N275*100/M275,0)</f>
        <v>83.839743589743591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IFERROR(__xludf.DUMMYFUNCTION("IMPORTRANGE(""https://docs.google.com/spreadsheets/d/1Yj_ptqi66GCucihVvJfMjLAmec39IyEx_6qawtMGysU/edit?usp=sharing"",""สบก!CG93"")"),132000)</f>
        <v>132000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IFERROR(__xludf.DUMMYFUNCTION("IMPORTRANGE(""https://docs.google.com/spreadsheets/d/1Yj_ptqi66GCucihVvJfMjLAmec39IyEx_6qawtMGysU/edit?usp=sharing"",""สบก!CH93"")"),55200)</f>
        <v>55200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6" t="s">
        <v>23</v>
      </c>
      <c r="E278" s="575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IFERROR(__xludf.DUMMYFUNCTION("IMPORTRANGE(""https://docs.google.com/spreadsheets/d/1Yj_ptqi66GCucihVvJfMjLAmec39IyEx_6qawtMGysU/edit?usp=sharing"",""สบก!CI93"")"),0)</f>
        <v>0</v>
      </c>
      <c r="M279" s="101"/>
      <c r="N279" s="91">
        <f ca="1">IFERROR(__xludf.DUMMYFUNCTION("IMPORTRANGE(""https://docs.google.com/spreadsheets/d/1Yj_ptqi66GCucihVvJfMjLAmec39IyEx_6qawtMGysU/edit?usp=sharing"",""สบก!CM93"")"),0)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IFERROR(__xludf.DUMMYFUNCTION("IMPORTRANGE(""https://docs.google.com/spreadsheets/d/1IYY_tgx_IHuhSq3AJ5eI5OnqOPBNLWSHKh2a30DoXe8/edit?usp=sharing"",""สตูล!J191"")"),0)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IFERROR(__xludf.DUMMYFUNCTION("IMPORTRANGE(""https://docs.google.com/spreadsheets/d/1IYY_tgx_IHuhSq3AJ5eI5OnqOPBNLWSHKh2a30DoXe8/edit?usp=sharing"",""สตูล!J192"")"),1)</f>
        <v>1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IFERROR(__xludf.DUMMYFUNCTION("IMPORTRANGE(""https://docs.google.com/spreadsheets/d/1IYY_tgx_IHuhSq3AJ5eI5OnqOPBNLWSHKh2a30DoXe8/edit?usp=sharing"",""สตูล!J193"")"),1)</f>
        <v>1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IFERROR(__xludf.DUMMYFUNCTION("IMPORTRANGE(""https://docs.google.com/spreadsheets/d/1IYY_tgx_IHuhSq3AJ5eI5OnqOPBNLWSHKh2a30DoXe8/edit?usp=sharing"",""สตูล!J194"")"),1)</f>
        <v>1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IFERROR(__xludf.DUMMYFUNCTION("IMPORTRANGE(""https://docs.google.com/spreadsheets/d/1IYY_tgx_IHuhSq3AJ5eI5OnqOPBNLWSHKh2a30DoXe8/edit?usp=sharing"",""สตูล!I195"")"),15)</f>
        <v>15</v>
      </c>
      <c r="J285" s="195">
        <f ca="1">IFERROR(__xludf.DUMMYFUNCTION("IMPORTRANGE(""https://docs.google.com/spreadsheets/d/1IYY_tgx_IHuhSq3AJ5eI5OnqOPBNLWSHKh2a30DoXe8/edit?usp=sharing"",""สตูล!J195"")"),15)</f>
        <v>15</v>
      </c>
      <c r="K285" s="167">
        <f ca="1">IF(I285&gt;0,J285*100/I285,0)</f>
        <v>100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IFERROR(__xludf.DUMMYFUNCTION("IMPORTRANGE(""https://docs.google.com/spreadsheets/d/1IYY_tgx_IHuhSq3AJ5eI5OnqOPBNLWSHKh2a30DoXe8/edit?usp=sharing"",""สตูล!J196"")"),0)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IFERROR(__xludf.DUMMYFUNCTION("IMPORTRANGE(""https://docs.google.com/spreadsheets/d/1IYY_tgx_IHuhSq3AJ5eI5OnqOPBNLWSHKh2a30DoXe8/edit?usp=sharing"",""สตูล!J197"")"),0)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IFERROR(__xludf.DUMMYFUNCTION("IMPORTRANGE(""https://docs.google.com/spreadsheets/d/1IYY_tgx_IHuhSq3AJ5eI5OnqOPBNLWSHKh2a30DoXe8/edit?usp=sharing"",""สตูล!I199"")"),0)</f>
        <v>0</v>
      </c>
      <c r="J289" s="322">
        <f ca="1">IFERROR(__xludf.DUMMYFUNCTION("IMPORTRANGE(""https://docs.google.com/spreadsheets/d/1IYY_tgx_IHuhSq3AJ5eI5OnqOPBNLWSHKh2a30DoXe8/edit?usp=sharing"",""สตูล!J199"")"),0)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2" t="s">
        <v>17</v>
      </c>
      <c r="E290" s="573"/>
      <c r="F290" s="573"/>
      <c r="G290" s="573"/>
      <c r="H290" s="153" t="s">
        <v>12</v>
      </c>
      <c r="I290" s="194"/>
      <c r="J290" s="194"/>
      <c r="K290" s="230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3">
      <c r="A293" s="162"/>
      <c r="B293" s="163"/>
      <c r="C293" s="163" t="s">
        <v>16</v>
      </c>
      <c r="D293" s="574" t="s">
        <v>20</v>
      </c>
      <c r="E293" s="575"/>
      <c r="F293" s="575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IFERROR(__xludf.DUMMYFUNCTION("IMPORTRANGE(""https://docs.google.com/spreadsheets/d/1Yj_ptqi66GCucihVvJfMjLAmec39IyEx_6qawtMGysU/edit?usp=sharing"",""สบก!CT93"")"),0)</f>
        <v>0</v>
      </c>
      <c r="N294" s="174">
        <f ca="1">IFERROR(__xludf.DUMMYFUNCTION("IMPORTRANGE(""https://docs.google.com/spreadsheets/d/1Yj_ptqi66GCucihVvJfMjLAmec39IyEx_6qawtMGysU/edit?usp=sharing"",""สบก!CU93"")"),0)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IFERROR(__xludf.DUMMYFUNCTION("IMPORTRANGE(""https://docs.google.com/spreadsheets/d/1Yj_ptqi66GCucihVvJfMjLAmec39IyEx_6qawtMGysU/edit?usp=sharing"",""สบก!CP93"")"),0)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IFERROR(__xludf.DUMMYFUNCTION("IMPORTRANGE(""https://docs.google.com/spreadsheets/d/1Yj_ptqi66GCucihVvJfMjLAmec39IyEx_6qawtMGysU/edit?usp=sharing"",""สบก!CQ93"")"),0)</f>
        <v>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6" t="s">
        <v>23</v>
      </c>
      <c r="E297" s="575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IFERROR(__xludf.DUMMYFUNCTION("IMPORTRANGE(""https://docs.google.com/spreadsheets/d/1Yj_ptqi66GCucihVvJfMjLAmec39IyEx_6qawtMGysU/edit?usp=sharing"",""สบก!CR93"")"),0)</f>
        <v>0</v>
      </c>
      <c r="M298" s="101"/>
      <c r="N298" s="91">
        <f ca="1">IFERROR(__xludf.DUMMYFUNCTION("IMPORTRANGE(""https://docs.google.com/spreadsheets/d/1Yj_ptqi66GCucihVvJfMjLAmec39IyEx_6qawtMGysU/edit?usp=sharing"",""สบก!CV93"")"),0)</f>
        <v>0</v>
      </c>
      <c r="O298" s="101">
        <f ca="1">IF(L298&gt;0,N298*100/L298,0)</f>
        <v>0</v>
      </c>
      <c r="P298" s="101"/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IFERROR(__xludf.DUMMYFUNCTION("IMPORTRANGE(""https://docs.google.com/spreadsheets/d/1IYY_tgx_IHuhSq3AJ5eI5OnqOPBNLWSHKh2a30DoXe8/edit?usp=sharing"",""สตูล!J205"")"),0)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IFERROR(__xludf.DUMMYFUNCTION("IMPORTRANGE(""https://docs.google.com/spreadsheets/d/1IYY_tgx_IHuhSq3AJ5eI5OnqOPBNLWSHKh2a30DoXe8/edit?usp=sharing"",""สตูล!J206"")"),0)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IFERROR(__xludf.DUMMYFUNCTION("IMPORTRANGE(""https://docs.google.com/spreadsheets/d/1IYY_tgx_IHuhSq3AJ5eI5OnqOPBNLWSHKh2a30DoXe8/edit?usp=sharing"",""สตูล!J207"")"),0)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IFERROR(__xludf.DUMMYFUNCTION("IMPORTRANGE(""https://docs.google.com/spreadsheets/d/1IYY_tgx_IHuhSq3AJ5eI5OnqOPBNLWSHKh2a30DoXe8/edit?usp=sharing"",""สตูล!J208"")"),0)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IFERROR(__xludf.DUMMYFUNCTION("IMPORTRANGE(""https://docs.google.com/spreadsheets/d/1IYY_tgx_IHuhSq3AJ5eI5OnqOPBNLWSHKh2a30DoXe8/edit?usp=sharing"",""สตูล!I209"")"),0)</f>
        <v>0</v>
      </c>
      <c r="J304" s="210">
        <f ca="1">IFERROR(__xludf.DUMMYFUNCTION("IMPORTRANGE(""https://docs.google.com/spreadsheets/d/1IYY_tgx_IHuhSq3AJ5eI5OnqOPBNLWSHKh2a30DoXe8/edit?usp=sharing"",""สตูล!J209"")"),0)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IFERROR(__xludf.DUMMYFUNCTION("IMPORTRANGE(""https://docs.google.com/spreadsheets/d/1IYY_tgx_IHuhSq3AJ5eI5OnqOPBNLWSHKh2a30DoXe8/edit?usp=sharing"",""สตูล!I211"")"),0)</f>
        <v>0</v>
      </c>
      <c r="J306" s="210">
        <f ca="1">IFERROR(__xludf.DUMMYFUNCTION("IMPORTRANGE(""https://docs.google.com/spreadsheets/d/1IYY_tgx_IHuhSq3AJ5eI5OnqOPBNLWSHKh2a30DoXe8/edit?usp=sharing"",""สตูล!J211"")"),0)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IFERROR(__xludf.DUMMYFUNCTION("IMPORTRANGE(""https://docs.google.com/spreadsheets/d/1IYY_tgx_IHuhSq3AJ5eI5OnqOPBNLWSHKh2a30DoXe8/edit?usp=sharing"",""สตูล!J212"")"),0)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IFERROR(__xludf.DUMMYFUNCTION("IMPORTRANGE(""https://docs.google.com/spreadsheets/d/1IYY_tgx_IHuhSq3AJ5eI5OnqOPBNLWSHKh2a30DoXe8/edit?usp=sharing"",""สตูล!J213"")"),0)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IFERROR(__xludf.DUMMYFUNCTION("IMPORTRANGE(""https://docs.google.com/spreadsheets/d/1IYY_tgx_IHuhSq3AJ5eI5OnqOPBNLWSHKh2a30DoXe8/edit?usp=sharing"",""สตูล!I214"")"),0)</f>
        <v>0</v>
      </c>
      <c r="J309" s="339">
        <f ca="1">IFERROR(__xludf.DUMMYFUNCTION("IMPORTRANGE(""https://docs.google.com/spreadsheets/d/1IYY_tgx_IHuhSq3AJ5eI5OnqOPBNLWSHKh2a30DoXe8/edit?usp=sharing"",""สตูล!J214"")"),0)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2" t="s">
        <v>17</v>
      </c>
      <c r="E310" s="573"/>
      <c r="F310" s="573"/>
      <c r="G310" s="573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3">
      <c r="A313" s="162"/>
      <c r="B313" s="163"/>
      <c r="C313" s="163" t="s">
        <v>16</v>
      </c>
      <c r="D313" s="574" t="s">
        <v>20</v>
      </c>
      <c r="E313" s="575"/>
      <c r="F313" s="575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IFERROR(__xludf.DUMMYFUNCTION("IMPORTRANGE(""https://docs.google.com/spreadsheets/d/1Yj_ptqi66GCucihVvJfMjLAmec39IyEx_6qawtMGysU/edit?usp=sharing"",""สบก!DC93"")"),0)</f>
        <v>0</v>
      </c>
      <c r="N314" s="174">
        <f ca="1">IFERROR(__xludf.DUMMYFUNCTION("IMPORTRANGE(""https://docs.google.com/spreadsheets/d/1Yj_ptqi66GCucihVvJfMjLAmec39IyEx_6qawtMGysU/edit?usp=sharing"",""สบก!DD93"")"),0)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IFERROR(__xludf.DUMMYFUNCTION("IMPORTRANGE(""https://docs.google.com/spreadsheets/d/1Yj_ptqi66GCucihVvJfMjLAmec39IyEx_6qawtMGysU/edit?usp=sharing"",""สบก!CY93"")"),0)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IFERROR(__xludf.DUMMYFUNCTION("IMPORTRANGE(""https://docs.google.com/spreadsheets/d/1Yj_ptqi66GCucihVvJfMjLAmec39IyEx_6qawtMGysU/edit?usp=sharing"",""สบก!CZ93"")"),0)</f>
        <v>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6" t="s">
        <v>23</v>
      </c>
      <c r="E317" s="575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IFERROR(__xludf.DUMMYFUNCTION("IMPORTRANGE(""https://docs.google.com/spreadsheets/d/1Yj_ptqi66GCucihVvJfMjLAmec39IyEx_6qawtMGysU/edit?usp=sharing"",""สบก!DA93"")"),0)</f>
        <v>0</v>
      </c>
      <c r="M318" s="101"/>
      <c r="N318" s="91">
        <f ca="1">IFERROR(__xludf.DUMMYFUNCTION("IMPORTRANGE(""https://docs.google.com/spreadsheets/d/1Yj_ptqi66GCucihVvJfMjLAmec39IyEx_6qawtMGysU/edit?usp=sharing"",""สบก!DE93"")"),0)</f>
        <v>0</v>
      </c>
      <c r="O318" s="101">
        <f ca="1">IF(L318&gt;0,N318*100/L318,0)</f>
        <v>0</v>
      </c>
      <c r="P318" s="101"/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IFERROR(__xludf.DUMMYFUNCTION("IMPORTRANGE(""https://docs.google.com/spreadsheets/d/1IYY_tgx_IHuhSq3AJ5eI5OnqOPBNLWSHKh2a30DoXe8/edit?usp=sharing"",""สตูล!J220"")"),0)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IFERROR(__xludf.DUMMYFUNCTION("IMPORTRANGE(""https://docs.google.com/spreadsheets/d/1IYY_tgx_IHuhSq3AJ5eI5OnqOPBNLWSHKh2a30DoXe8/edit?usp=sharing"",""สตูล!J221"")"),0)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IFERROR(__xludf.DUMMYFUNCTION("IMPORTRANGE(""https://docs.google.com/spreadsheets/d/1IYY_tgx_IHuhSq3AJ5eI5OnqOPBNLWSHKh2a30DoXe8/edit?usp=sharing"",""สตูล!J222"")"),0)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IFERROR(__xludf.DUMMYFUNCTION("IMPORTRANGE(""https://docs.google.com/spreadsheets/d/1IYY_tgx_IHuhSq3AJ5eI5OnqOPBNLWSHKh2a30DoXe8/edit?usp=sharing"",""สตูล!J223"")"),0)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IFERROR(__xludf.DUMMYFUNCTION("IMPORTRANGE(""https://docs.google.com/spreadsheets/d/1IYY_tgx_IHuhSq3AJ5eI5OnqOPBNLWSHKh2a30DoXe8/edit?usp=sharing"",""สตูล!I224"")"),0)</f>
        <v>0</v>
      </c>
      <c r="J324" s="210">
        <f ca="1">IFERROR(__xludf.DUMMYFUNCTION("IMPORTRANGE(""https://docs.google.com/spreadsheets/d/1IYY_tgx_IHuhSq3AJ5eI5OnqOPBNLWSHKh2a30DoXe8/edit?usp=sharing"",""สตูล!J224"")"),0)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IFERROR(__xludf.DUMMYFUNCTION("IMPORTRANGE(""https://docs.google.com/spreadsheets/d/1IYY_tgx_IHuhSq3AJ5eI5OnqOPBNLWSHKh2a30DoXe8/edit?usp=sharing"",""สตูล!J225"")"),0)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IFERROR(__xludf.DUMMYFUNCTION("IMPORTRANGE(""https://docs.google.com/spreadsheets/d/1IYY_tgx_IHuhSq3AJ5eI5OnqOPBNLWSHKh2a30DoXe8/edit?usp=sharing"",""สตูล!J226"")"),0)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IFERROR(__xludf.DUMMYFUNCTION("IMPORTRANGE(""https://docs.google.com/spreadsheets/d/1IYY_tgx_IHuhSq3AJ5eI5OnqOPBNLWSHKh2a30DoXe8/edit?usp=sharing"",""สตูล!I228"")"),50)</f>
        <v>50</v>
      </c>
      <c r="J328" s="345">
        <f ca="1">IFERROR(__xludf.DUMMYFUNCTION("IMPORTRANGE(""https://docs.google.com/spreadsheets/d/1IYY_tgx_IHuhSq3AJ5eI5OnqOPBNLWSHKh2a30DoXe8/edit?usp=sharing"",""สตูล!J228"")"),68)</f>
        <v>68</v>
      </c>
      <c r="K328" s="323">
        <f ca="1">IF(I328&gt;0,J328*100/I328,0)</f>
        <v>136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2" t="s">
        <v>17</v>
      </c>
      <c r="E329" s="573"/>
      <c r="F329" s="573"/>
      <c r="G329" s="573"/>
      <c r="H329" s="153" t="s">
        <v>12</v>
      </c>
      <c r="I329" s="166"/>
      <c r="J329" s="166"/>
      <c r="K329" s="167"/>
      <c r="L329" s="156">
        <f t="shared" ref="L329:N329" ca="1" si="98">L330+L331</f>
        <v>926350</v>
      </c>
      <c r="M329" s="156">
        <f t="shared" ca="1" si="98"/>
        <v>987850</v>
      </c>
      <c r="N329" s="156">
        <f t="shared" ca="1" si="98"/>
        <v>864909.43</v>
      </c>
      <c r="O329" s="155">
        <f t="shared" ref="O329:O331" ca="1" si="99">IF(L329&gt;0,N329*100/L329,0)</f>
        <v>93.367456145085555</v>
      </c>
      <c r="P329" s="155">
        <f t="shared" ref="P329:P331" ca="1" si="100">IF(M329&gt;0,N329*100/M329,0)</f>
        <v>87.554733006023184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926350</v>
      </c>
      <c r="M331" s="161">
        <f t="shared" ca="1" si="102"/>
        <v>987850</v>
      </c>
      <c r="N331" s="161">
        <f t="shared" ca="1" si="102"/>
        <v>864909.43</v>
      </c>
      <c r="O331" s="160">
        <f t="shared" ca="1" si="99"/>
        <v>93.367456145085555</v>
      </c>
      <c r="P331" s="160">
        <f t="shared" ca="1" si="100"/>
        <v>87.554733006023184</v>
      </c>
    </row>
    <row r="332" spans="1:16" ht="21.75" customHeight="1" x14ac:dyDescent="0.3">
      <c r="A332" s="162"/>
      <c r="B332" s="163"/>
      <c r="C332" s="163" t="s">
        <v>16</v>
      </c>
      <c r="D332" s="574" t="s">
        <v>20</v>
      </c>
      <c r="E332" s="575"/>
      <c r="F332" s="575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757350</v>
      </c>
      <c r="M333" s="173">
        <f ca="1">IFERROR(__xludf.DUMMYFUNCTION("IMPORTRANGE(""https://docs.google.com/spreadsheets/d/1Yj_ptqi66GCucihVvJfMjLAmec39IyEx_6qawtMGysU/edit?usp=sharing"",""สบก!DL93"")"),818850)</f>
        <v>818850</v>
      </c>
      <c r="N333" s="174">
        <f ca="1">IFERROR(__xludf.DUMMYFUNCTION("IMPORTRANGE(""https://docs.google.com/spreadsheets/d/1Yj_ptqi66GCucihVvJfMjLAmec39IyEx_6qawtMGysU/edit?usp=sharing"",""สบก!DM93"")"),695909.43)</f>
        <v>695909.43</v>
      </c>
      <c r="O333" s="175">
        <f ca="1">IF(L333&gt;0,N333*100/L333,0)</f>
        <v>91.887427213309564</v>
      </c>
      <c r="P333" s="175">
        <f ca="1">IF(M333&gt;0,N333*100/M333,0)</f>
        <v>84.986191610185017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IFERROR(__xludf.DUMMYFUNCTION("IMPORTRANGE(""https://docs.google.com/spreadsheets/d/1Yj_ptqi66GCucihVvJfMjLAmec39IyEx_6qawtMGysU/edit?usp=sharing"",""สบก!DH93"")"),530800)</f>
        <v>530800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IFERROR(__xludf.DUMMYFUNCTION("IMPORTRANGE(""https://docs.google.com/spreadsheets/d/1Yj_ptqi66GCucihVvJfMjLAmec39IyEx_6qawtMGysU/edit?usp=sharing"",""สบก!DI93"")"),226550)</f>
        <v>226550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6" t="s">
        <v>23</v>
      </c>
      <c r="E336" s="575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IFERROR(__xludf.DUMMYFUNCTION("IMPORTRANGE(""https://docs.google.com/spreadsheets/d/1Yj_ptqi66GCucihVvJfMjLAmec39IyEx_6qawtMGysU/edit?usp=sharing"",""สบก!DJ93"")"),169000)</f>
        <v>169000</v>
      </c>
      <c r="M337" s="101">
        <f ca="1">L337</f>
        <v>169000</v>
      </c>
      <c r="N337" s="91">
        <f ca="1">IFERROR(__xludf.DUMMYFUNCTION("IMPORTRANGE(""https://docs.google.com/spreadsheets/d/1Yj_ptqi66GCucihVvJfMjLAmec39IyEx_6qawtMGysU/edit?usp=sharing"",""สบก!DN93"")"),169000)</f>
        <v>169000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IFERROR(__xludf.DUMMYFUNCTION("IMPORTRANGE(""https://docs.google.com/spreadsheets/d/1IYY_tgx_IHuhSq3AJ5eI5OnqOPBNLWSHKh2a30DoXe8/edit?usp=sharing"",""สตูล!I234"")"),0)</f>
        <v>0</v>
      </c>
      <c r="J339" s="194">
        <f ca="1">IFERROR(__xludf.DUMMYFUNCTION("IMPORTRANGE(""https://docs.google.com/spreadsheets/d/1IYY_tgx_IHuhSq3AJ5eI5OnqOPBNLWSHKh2a30DoXe8/edit?usp=sharing"",""สตูล!J234"")"),107)</f>
        <v>107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IFERROR(__xludf.DUMMYFUNCTION("IMPORTRANGE(""https://docs.google.com/spreadsheets/d/1IYY_tgx_IHuhSq3AJ5eI5OnqOPBNLWSHKh2a30DoXe8/edit?usp=sharing"",""สตูล!I235"")"),480)</f>
        <v>480</v>
      </c>
      <c r="J340" s="194">
        <f ca="1">IFERROR(__xludf.DUMMYFUNCTION("IMPORTRANGE(""https://docs.google.com/spreadsheets/d/1IYY_tgx_IHuhSq3AJ5eI5OnqOPBNLWSHKh2a30DoXe8/edit?usp=sharing"",""สตูล!J235"")"),550.13)</f>
        <v>550.13</v>
      </c>
      <c r="K340" s="348">
        <f t="shared" ca="1" si="103"/>
        <v>114.61041666666667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IFERROR(__xludf.DUMMYFUNCTION("IMPORTRANGE(""https://docs.google.com/spreadsheets/d/1IYY_tgx_IHuhSq3AJ5eI5OnqOPBNLWSHKh2a30DoXe8/edit?usp=sharing"",""สตูล!I236"")"),50)</f>
        <v>50</v>
      </c>
      <c r="J341" s="194">
        <f ca="1">IFERROR(__xludf.DUMMYFUNCTION("IMPORTRANGE(""https://docs.google.com/spreadsheets/d/1IYY_tgx_IHuhSq3AJ5eI5OnqOPBNLWSHKh2a30DoXe8/edit?usp=sharing"",""สตูล!J236"")"),107)</f>
        <v>107</v>
      </c>
      <c r="K341" s="348">
        <f t="shared" ca="1" si="103"/>
        <v>214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IFERROR(__xludf.DUMMYFUNCTION("IMPORTRANGE(""https://docs.google.com/spreadsheets/d/1IYY_tgx_IHuhSq3AJ5eI5OnqOPBNLWSHKh2a30DoXe8/edit?usp=sharing"",""สตูล!I237"")"),0)</f>
        <v>0</v>
      </c>
      <c r="J342" s="194">
        <f ca="1">IFERROR(__xludf.DUMMYFUNCTION("IMPORTRANGE(""https://docs.google.com/spreadsheets/d/1IYY_tgx_IHuhSq3AJ5eI5OnqOPBNLWSHKh2a30DoXe8/edit?usp=sharing"",""สตูล!J237"")"),550.13)</f>
        <v>550.13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IFERROR(__xludf.DUMMYFUNCTION("IMPORTRANGE(""https://docs.google.com/spreadsheets/d/1IYY_tgx_IHuhSq3AJ5eI5OnqOPBNLWSHKh2a30DoXe8/edit?usp=sharing"",""สตูล!I238"")"),50)</f>
        <v>50</v>
      </c>
      <c r="J343" s="194">
        <f ca="1">IFERROR(__xludf.DUMMYFUNCTION("IMPORTRANGE(""https://docs.google.com/spreadsheets/d/1IYY_tgx_IHuhSq3AJ5eI5OnqOPBNLWSHKh2a30DoXe8/edit?usp=sharing"",""สตูล!J238"")"),42)</f>
        <v>42</v>
      </c>
      <c r="K343" s="348">
        <f t="shared" ca="1" si="103"/>
        <v>84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IFERROR(__xludf.DUMMYFUNCTION("IMPORTRANGE(""https://docs.google.com/spreadsheets/d/1IYY_tgx_IHuhSq3AJ5eI5OnqOPBNLWSHKh2a30DoXe8/edit?usp=sharing"",""สตูล!I239"")"),0)</f>
        <v>0</v>
      </c>
      <c r="J344" s="194">
        <f ca="1">IFERROR(__xludf.DUMMYFUNCTION("IMPORTRANGE(""https://docs.google.com/spreadsheets/d/1IYY_tgx_IHuhSq3AJ5eI5OnqOPBNLWSHKh2a30DoXe8/edit?usp=sharing"",""สตูล!J239"")"),227.51)</f>
        <v>227.51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IFERROR(__xludf.DUMMYFUNCTION("IMPORTRANGE(""https://docs.google.com/spreadsheets/d/1IYY_tgx_IHuhSq3AJ5eI5OnqOPBNLWSHKh2a30DoXe8/edit?usp=sharing"",""สตูล!I240"")"),50)</f>
        <v>50</v>
      </c>
      <c r="J345" s="194">
        <f ca="1">IFERROR(__xludf.DUMMYFUNCTION("IMPORTRANGE(""https://docs.google.com/spreadsheets/d/1IYY_tgx_IHuhSq3AJ5eI5OnqOPBNLWSHKh2a30DoXe8/edit?usp=sharing"",""สตูล!J240"")"),68)</f>
        <v>68</v>
      </c>
      <c r="K345" s="348">
        <f t="shared" ca="1" si="103"/>
        <v>136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IFERROR(__xludf.DUMMYFUNCTION("IMPORTRANGE(""https://docs.google.com/spreadsheets/d/1IYY_tgx_IHuhSq3AJ5eI5OnqOPBNLWSHKh2a30DoXe8/edit?usp=sharing"",""สตูล!I241"")"),0)</f>
        <v>0</v>
      </c>
      <c r="J346" s="194">
        <f ca="1">IFERROR(__xludf.DUMMYFUNCTION("IMPORTRANGE(""https://docs.google.com/spreadsheets/d/1IYY_tgx_IHuhSq3AJ5eI5OnqOPBNLWSHKh2a30DoXe8/edit?usp=sharing"",""สตูล!J241"")"),378.63)</f>
        <v>378.63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IFERROR(__xludf.DUMMYFUNCTION("IMPORTRANGE(""https://docs.google.com/spreadsheets/d/1IYY_tgx_IHuhSq3AJ5eI5OnqOPBNLWSHKh2a30DoXe8/edit?usp=sharing"",""สตูล!L242"")"),495976)</f>
        <v>495976</v>
      </c>
      <c r="M347" s="364"/>
      <c r="N347" s="364">
        <f ca="1">IFERROR(__xludf.DUMMYFUNCTION("IMPORTRANGE(""https://docs.google.com/spreadsheets/d/1IYY_tgx_IHuhSq3AJ5eI5OnqOPBNLWSHKh2a30DoXe8/edit?usp=sharing"",""สตูล!M242"")"),402323.36)</f>
        <v>402323.36</v>
      </c>
      <c r="O347" s="364">
        <f ca="1">+IF(L347&gt;0,N347*100/L347,0)</f>
        <v>81.117505685758985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IFERROR(__xludf.DUMMYFUNCTION("IMPORTRANGE(""https://docs.google.com/spreadsheets/d/1IYY_tgx_IHuhSq3AJ5eI5OnqOPBNLWSHKh2a30DoXe8/edit?usp=sharing"",""สตูล!I244"")"),0)</f>
        <v>0</v>
      </c>
      <c r="J349" s="377">
        <f ca="1">IFERROR(__xludf.DUMMYFUNCTION("IMPORTRANGE(""https://docs.google.com/spreadsheets/d/1IYY_tgx_IHuhSq3AJ5eI5OnqOPBNLWSHKh2a30DoXe8/edit?usp=sharing"",""สตูล!J244"")"),0)</f>
        <v>0</v>
      </c>
      <c r="K349" s="378">
        <f t="shared" ref="K349:K350" ca="1" si="104">IF(I349&gt;0,J349*100/I349,0)</f>
        <v>0</v>
      </c>
      <c r="L349" s="379">
        <f ca="1">IFERROR(__xludf.DUMMYFUNCTION("IMPORTRANGE(""https://docs.google.com/spreadsheets/d/1IYY_tgx_IHuhSq3AJ5eI5OnqOPBNLWSHKh2a30DoXe8/edit?usp=sharing"",""สตูล!L244"")"),0)</f>
        <v>0</v>
      </c>
      <c r="M349" s="379"/>
      <c r="N349" s="379">
        <f ca="1">IFERROR(__xludf.DUMMYFUNCTION("IMPORTRANGE(""https://docs.google.com/spreadsheets/d/1IYY_tgx_IHuhSq3AJ5eI5OnqOPBNLWSHKh2a30DoXe8/edit?usp=sharing"",""สตูล!M244"")"),0)</f>
        <v>0</v>
      </c>
      <c r="O349" s="379">
        <f ca="1">+IF(L349&gt;0,N349*100/L349,0)</f>
        <v>0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IFERROR(__xludf.DUMMYFUNCTION("IMPORTRANGE(""https://docs.google.com/spreadsheets/d/1IYY_tgx_IHuhSq3AJ5eI5OnqOPBNLWSHKh2a30DoXe8/edit?usp=sharing"",""สตูล!I245"")"),0)</f>
        <v>0</v>
      </c>
      <c r="J350" s="377">
        <f ca="1">IFERROR(__xludf.DUMMYFUNCTION("IMPORTRANGE(""https://docs.google.com/spreadsheets/d/1IYY_tgx_IHuhSq3AJ5eI5OnqOPBNLWSHKh2a30DoXe8/edit?usp=sharing"",""สตูล!J245"")"),0)</f>
        <v>0</v>
      </c>
      <c r="K350" s="378">
        <f t="shared" ca="1" si="104"/>
        <v>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IFERROR(__xludf.DUMMYFUNCTION("IMPORTRANGE(""https://docs.google.com/spreadsheets/d/1IYY_tgx_IHuhSq3AJ5eI5OnqOPBNLWSHKh2a30DoXe8/edit?usp=sharing"",""สตูล!L246"")"),0)</f>
        <v>0</v>
      </c>
      <c r="M351" s="168"/>
      <c r="N351" s="168">
        <f ca="1">IFERROR(__xludf.DUMMYFUNCTION("IMPORTRANGE(""https://docs.google.com/spreadsheets/d/1IYY_tgx_IHuhSq3AJ5eI5OnqOPBNLWSHKh2a30DoXe8/edit?usp=sharing"",""สตูล!M246"")"),0)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IFERROR(__xludf.DUMMYFUNCTION("IMPORTRANGE(""https://docs.google.com/spreadsheets/d/1IYY_tgx_IHuhSq3AJ5eI5OnqOPBNLWSHKh2a30DoXe8/edit?usp=sharing"",""สตูล!L247"")"),0)</f>
        <v>0</v>
      </c>
      <c r="M352" s="169"/>
      <c r="N352" s="168">
        <f ca="1">IFERROR(__xludf.DUMMYFUNCTION("IMPORTRANGE(""https://docs.google.com/spreadsheets/d/1IYY_tgx_IHuhSq3AJ5eI5OnqOPBNLWSHKh2a30DoXe8/edit?usp=sharing"",""สตูล!M247"")"),0)</f>
        <v>0</v>
      </c>
      <c r="O352" s="169">
        <f t="shared" ca="1" si="105"/>
        <v>0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IFERROR(__xludf.DUMMYFUNCTION("IMPORTRANGE(""https://docs.google.com/spreadsheets/d/1IYY_tgx_IHuhSq3AJ5eI5OnqOPBNLWSHKh2a30DoXe8/edit?usp=sharing"",""สตูล!L248"")"),0)</f>
        <v>0</v>
      </c>
      <c r="M353" s="175"/>
      <c r="N353" s="175">
        <f ca="1">IFERROR(__xludf.DUMMYFUNCTION("IMPORTRANGE(""https://docs.google.com/spreadsheets/d/1IYY_tgx_IHuhSq3AJ5eI5OnqOPBNLWSHKh2a30DoXe8/edit?usp=sharing"",""สตูล!M248"")"),0)</f>
        <v>0</v>
      </c>
      <c r="O353" s="175">
        <f t="shared" ca="1" si="105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IFERROR(__xludf.DUMMYFUNCTION("IMPORTRANGE(""https://docs.google.com/spreadsheets/d/1IYY_tgx_IHuhSq3AJ5eI5OnqOPBNLWSHKh2a30DoXe8/edit?usp=sharing"",""สตูล!L249"")"),0)</f>
        <v>0</v>
      </c>
      <c r="M354" s="175"/>
      <c r="N354" s="172">
        <f ca="1">IFERROR(__xludf.DUMMYFUNCTION("IMPORTRANGE(""https://docs.google.com/spreadsheets/d/1IYY_tgx_IHuhSq3AJ5eI5OnqOPBNLWSHKh2a30DoXe8/edit?usp=sharing"",""สตูล!M249"")"),0)</f>
        <v>0</v>
      </c>
      <c r="O354" s="175">
        <f t="shared" ca="1" si="105"/>
        <v>0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IFERROR(__xludf.DUMMYFUNCTION("IMPORTRANGE(""https://docs.google.com/spreadsheets/d/1IYY_tgx_IHuhSq3AJ5eI5OnqOPBNLWSHKh2a30DoXe8/edit?usp=sharing"",""สตูล!M250"")"),0)</f>
        <v>0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IFERROR(__xludf.DUMMYFUNCTION("IMPORTRANGE(""https://docs.google.com/spreadsheets/d/1IYY_tgx_IHuhSq3AJ5eI5OnqOPBNLWSHKh2a30DoXe8/edit?usp=sharing"",""สตูล!M251"")"),0)</f>
        <v>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IFERROR(__xludf.DUMMYFUNCTION("IMPORTRANGE(""https://docs.google.com/spreadsheets/d/1IYY_tgx_IHuhSq3AJ5eI5OnqOPBNLWSHKh2a30DoXe8/edit?usp=sharing"",""สตูล!M252"")"),0)</f>
        <v>0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IFERROR(__xludf.DUMMYFUNCTION("IMPORTRANGE(""https://docs.google.com/spreadsheets/d/1IYY_tgx_IHuhSq3AJ5eI5OnqOPBNLWSHKh2a30DoXe8/edit?usp=sharing"",""สตูล!M253"")"),0)</f>
        <v>0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IFERROR(__xludf.DUMMYFUNCTION("IMPORTRANGE(""https://docs.google.com/spreadsheets/d/1IYY_tgx_IHuhSq3AJ5eI5OnqOPBNLWSHKh2a30DoXe8/edit?usp=sharing"",""สตูล!J255"")"),0)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IFERROR(__xludf.DUMMYFUNCTION("IMPORTRANGE(""https://docs.google.com/spreadsheets/d/1IYY_tgx_IHuhSq3AJ5eI5OnqOPBNLWSHKh2a30DoXe8/edit?usp=sharing"",""สตูล!J256"")"),0)</f>
        <v>0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IFERROR(__xludf.DUMMYFUNCTION("IMPORTRANGE(""https://docs.google.com/spreadsheets/d/1IYY_tgx_IHuhSq3AJ5eI5OnqOPBNLWSHKh2a30DoXe8/edit?usp=sharing"",""สตูล!J257"")"),0)</f>
        <v>0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IFERROR(__xludf.DUMMYFUNCTION("IMPORTRANGE(""https://docs.google.com/spreadsheets/d/1IYY_tgx_IHuhSq3AJ5eI5OnqOPBNLWSHKh2a30DoXe8/edit?usp=sharing"",""สตูล!J258"")"),0)</f>
        <v>0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IFERROR(__xludf.DUMMYFUNCTION("IMPORTRANGE(""https://docs.google.com/spreadsheets/d/1IYY_tgx_IHuhSq3AJ5eI5OnqOPBNLWSHKh2a30DoXe8/edit?usp=sharing"",""สตูล!J166"")"),0)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IFERROR(__xludf.DUMMYFUNCTION("IMPORTRANGE(""https://docs.google.com/spreadsheets/d/1IYY_tgx_IHuhSq3AJ5eI5OnqOPBNLWSHKh2a30DoXe8/edit?usp=sharing"",""สตูล!J166"")"),0)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IFERROR(__xludf.DUMMYFUNCTION("IMPORTRANGE(""https://docs.google.com/spreadsheets/d/1IYY_tgx_IHuhSq3AJ5eI5OnqOPBNLWSHKh2a30DoXe8/edit?usp=sharing"",""สตูล!J166"")"),0)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IFERROR(__xludf.DUMMYFUNCTION("IMPORTRANGE(""https://docs.google.com/spreadsheets/d/1IYY_tgx_IHuhSq3AJ5eI5OnqOPBNLWSHKh2a30DoXe8/edit?usp=sharing"",""สตูล!J166"")"),0)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IFERROR(__xludf.DUMMYFUNCTION("IMPORTRANGE(""https://docs.google.com/spreadsheets/d/1IYY_tgx_IHuhSq3AJ5eI5OnqOPBNLWSHKh2a30DoXe8/edit?usp=sharing"",""สตูล!I263"")"),0)</f>
        <v>0</v>
      </c>
      <c r="J368" s="194">
        <f ca="1">IFERROR(__xludf.DUMMYFUNCTION("IMPORTRANGE(""https://docs.google.com/spreadsheets/d/1IYY_tgx_IHuhSq3AJ5eI5OnqOPBNLWSHKh2a30DoXe8/edit?usp=sharing"",""สตูล!J263"")"),0)</f>
        <v>0</v>
      </c>
      <c r="K368" s="167">
        <f t="shared" ca="1" si="106"/>
        <v>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IFERROR(__xludf.DUMMYFUNCTION("IMPORTRANGE(""https://docs.google.com/spreadsheets/d/1IYY_tgx_IHuhSq3AJ5eI5OnqOPBNLWSHKh2a30DoXe8/edit?usp=sharing"",""สตูล!I164"")"),0)</f>
        <v>0</v>
      </c>
      <c r="J369" s="210">
        <f ca="1">IFERROR(__xludf.DUMMYFUNCTION("IMPORTRANGE(""https://docs.google.com/spreadsheets/d/1IYY_tgx_IHuhSq3AJ5eI5OnqOPBNLWSHKh2a30DoXe8/edit?usp=sharing"",""สตูล!J164"")"),0)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IFERROR(__xludf.DUMMYFUNCTION("IMPORTRANGE(""https://docs.google.com/spreadsheets/d/1IYY_tgx_IHuhSq3AJ5eI5OnqOPBNLWSHKh2a30DoXe8/edit?usp=sharing"",""สตูล!I265"")"),0)</f>
        <v>0</v>
      </c>
      <c r="J370" s="210">
        <f ca="1">IFERROR(__xludf.DUMMYFUNCTION("IMPORTRANGE(""https://docs.google.com/spreadsheets/d/1IYY_tgx_IHuhSq3AJ5eI5OnqOPBNLWSHKh2a30DoXe8/edit?usp=sharing"",""สตูล!J265"")"),0)</f>
        <v>0</v>
      </c>
      <c r="K370" s="167">
        <f t="shared" ca="1" si="106"/>
        <v>0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IFERROR(__xludf.DUMMYFUNCTION("IMPORTRANGE(""https://docs.google.com/spreadsheets/d/1IYY_tgx_IHuhSq3AJ5eI5OnqOPBNLWSHKh2a30DoXe8/edit?usp=sharing"",""สตูล!I164"")"),0)</f>
        <v>0</v>
      </c>
      <c r="J371" s="195">
        <f ca="1">IFERROR(__xludf.DUMMYFUNCTION("IMPORTRANGE(""https://docs.google.com/spreadsheets/d/1IYY_tgx_IHuhSq3AJ5eI5OnqOPBNLWSHKh2a30DoXe8/edit?usp=sharing"",""สตูล!J164"")"),0)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IFERROR(__xludf.DUMMYFUNCTION("IMPORTRANGE(""https://docs.google.com/spreadsheets/d/1IYY_tgx_IHuhSq3AJ5eI5OnqOPBNLWSHKh2a30DoXe8/edit?usp=sharing"",""สตูล!I267"")"),0)</f>
        <v>0</v>
      </c>
      <c r="J372" s="195">
        <f ca="1">IFERROR(__xludf.DUMMYFUNCTION("IMPORTRANGE(""https://docs.google.com/spreadsheets/d/1IYY_tgx_IHuhSq3AJ5eI5OnqOPBNLWSHKh2a30DoXe8/edit?usp=sharing"",""สตูล!J267"")"),0)</f>
        <v>0</v>
      </c>
      <c r="K372" s="167">
        <f t="shared" ca="1" si="106"/>
        <v>0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IFERROR(__xludf.DUMMYFUNCTION("IMPORTRANGE(""https://docs.google.com/spreadsheets/d/1IYY_tgx_IHuhSq3AJ5eI5OnqOPBNLWSHKh2a30DoXe8/edit?usp=sharing"",""สตูล!I164"")"),0)</f>
        <v>0</v>
      </c>
      <c r="J373" s="210">
        <f ca="1">IFERROR(__xludf.DUMMYFUNCTION("IMPORTRANGE(""https://docs.google.com/spreadsheets/d/1IYY_tgx_IHuhSq3AJ5eI5OnqOPBNLWSHKh2a30DoXe8/edit?usp=sharing"",""สตูล!J164"")"),0)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IFERROR(__xludf.DUMMYFUNCTION("IMPORTRANGE(""https://docs.google.com/spreadsheets/d/1IYY_tgx_IHuhSq3AJ5eI5OnqOPBNLWSHKh2a30DoXe8/edit?usp=sharing"",""สตูล!I164"")"),0)</f>
        <v>0</v>
      </c>
      <c r="J374" s="194">
        <f ca="1">IFERROR(__xludf.DUMMYFUNCTION("IMPORTRANGE(""https://docs.google.com/spreadsheets/d/1IYY_tgx_IHuhSq3AJ5eI5OnqOPBNLWSHKh2a30DoXe8/edit?usp=sharing"",""สตูล!J164"")"),0)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IFERROR(__xludf.DUMMYFUNCTION("IMPORTRANGE(""https://docs.google.com/spreadsheets/d/1IYY_tgx_IHuhSq3AJ5eI5OnqOPBNLWSHKh2a30DoXe8/edit?usp=sharing"",""สตูล!I270"")"),0)</f>
        <v>0</v>
      </c>
      <c r="J375" s="194">
        <f ca="1">IFERROR(__xludf.DUMMYFUNCTION("IMPORTRANGE(""https://docs.google.com/spreadsheets/d/1IYY_tgx_IHuhSq3AJ5eI5OnqOPBNLWSHKh2a30DoXe8/edit?usp=sharing"",""สตูล!J270"")"),0)</f>
        <v>0</v>
      </c>
      <c r="K375" s="167">
        <f t="shared" ref="K375:K377" ca="1" si="107">IF(I375&gt;0,J375*100/I375,0)</f>
        <v>0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IFERROR(__xludf.DUMMYFUNCTION("IMPORTRANGE(""https://docs.google.com/spreadsheets/d/1IYY_tgx_IHuhSq3AJ5eI5OnqOPBNLWSHKh2a30DoXe8/edit?usp=sharing"",""สตูล!I271"")"),0)</f>
        <v>0</v>
      </c>
      <c r="J376" s="195">
        <f ca="1">IFERROR(__xludf.DUMMYFUNCTION("IMPORTRANGE(""https://docs.google.com/spreadsheets/d/1IYY_tgx_IHuhSq3AJ5eI5OnqOPBNLWSHKh2a30DoXe8/edit?usp=sharing"",""สตูล!J271"")"),0)</f>
        <v>0</v>
      </c>
      <c r="K376" s="167">
        <f t="shared" ca="1" si="107"/>
        <v>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IFERROR(__xludf.DUMMYFUNCTION("IMPORTRANGE(""https://docs.google.com/spreadsheets/d/1IYY_tgx_IHuhSq3AJ5eI5OnqOPBNLWSHKh2a30DoXe8/edit?usp=sharing"",""สตูล!I272"")"),0)</f>
        <v>0</v>
      </c>
      <c r="J377" s="210">
        <f ca="1">IFERROR(__xludf.DUMMYFUNCTION("IMPORTRANGE(""https://docs.google.com/spreadsheets/d/1IYY_tgx_IHuhSq3AJ5eI5OnqOPBNLWSHKh2a30DoXe8/edit?usp=sharing"",""สตูล!J272"")"),0)</f>
        <v>0</v>
      </c>
      <c r="K377" s="167">
        <f t="shared" ca="1" si="107"/>
        <v>0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IFERROR(__xludf.DUMMYFUNCTION("IMPORTRANGE(""https://docs.google.com/spreadsheets/d/1IYY_tgx_IHuhSq3AJ5eI5OnqOPBNLWSHKh2a30DoXe8/edit?usp=sharing"",""สตูล!J273"")"),0)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IFERROR(__xludf.DUMMYFUNCTION("IMPORTRANGE(""https://docs.google.com/spreadsheets/d/1IYY_tgx_IHuhSq3AJ5eI5OnqOPBNLWSHKh2a30DoXe8/edit?usp=sharing"",""สตูล!J274"")"),0)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IFERROR(__xludf.DUMMYFUNCTION("IMPORTRANGE(""https://docs.google.com/spreadsheets/d/1IYY_tgx_IHuhSq3AJ5eI5OnqOPBNLWSHKh2a30DoXe8/edit?usp=sharing"",""สตูล!I275"")"),50)</f>
        <v>50</v>
      </c>
      <c r="J380" s="377">
        <f ca="1">IFERROR(__xludf.DUMMYFUNCTION("IMPORTRANGE(""https://docs.google.com/spreadsheets/d/1IYY_tgx_IHuhSq3AJ5eI5OnqOPBNLWSHKh2a30DoXe8/edit?usp=sharing"",""สตูล!J275"")"),50)</f>
        <v>50</v>
      </c>
      <c r="K380" s="378">
        <f t="shared" ref="K380:K381" ca="1" si="108">IF(I380&gt;0,J380*100/I380,0)</f>
        <v>100</v>
      </c>
      <c r="L380" s="379">
        <f ca="1">IFERROR(__xludf.DUMMYFUNCTION("IMPORTRANGE(""https://docs.google.com/spreadsheets/d/1IYY_tgx_IHuhSq3AJ5eI5OnqOPBNLWSHKh2a30DoXe8/edit?usp=sharing"",""สตูล!L275"")"),87710)</f>
        <v>87710</v>
      </c>
      <c r="M380" s="379"/>
      <c r="N380" s="379">
        <f ca="1">IFERROR(__xludf.DUMMYFUNCTION("IMPORTRANGE(""https://docs.google.com/spreadsheets/d/1IYY_tgx_IHuhSq3AJ5eI5OnqOPBNLWSHKh2a30DoXe8/edit?usp=sharing"",""สตูล!M275"")"),76100)</f>
        <v>76100</v>
      </c>
      <c r="O380" s="379">
        <f ca="1">+IF(L380&gt;0,N380*100/L380,0)</f>
        <v>86.763196898871286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IFERROR(__xludf.DUMMYFUNCTION("IMPORTRANGE(""https://docs.google.com/spreadsheets/d/1IYY_tgx_IHuhSq3AJ5eI5OnqOPBNLWSHKh2a30DoXe8/edit?usp=sharing"",""สตูล!I276"")"),5)</f>
        <v>5</v>
      </c>
      <c r="J381" s="377">
        <f ca="1">IFERROR(__xludf.DUMMYFUNCTION("IMPORTRANGE(""https://docs.google.com/spreadsheets/d/1IYY_tgx_IHuhSq3AJ5eI5OnqOPBNLWSHKh2a30DoXe8/edit?usp=sharing"",""สตูล!J276"")"),10)</f>
        <v>10</v>
      </c>
      <c r="K381" s="378">
        <f t="shared" ca="1" si="108"/>
        <v>200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IFERROR(__xludf.DUMMYFUNCTION("IMPORTRANGE(""https://docs.google.com/spreadsheets/d/1IYY_tgx_IHuhSq3AJ5eI5OnqOPBNLWSHKh2a30DoXe8/edit?usp=sharing"",""สตูล!L277"")"),0)</f>
        <v>0</v>
      </c>
      <c r="M382" s="168"/>
      <c r="N382" s="168">
        <f ca="1">IFERROR(__xludf.DUMMYFUNCTION("IMPORTRANGE(""https://docs.google.com/spreadsheets/d/1IYY_tgx_IHuhSq3AJ5eI5OnqOPBNLWSHKh2a30DoXe8/edit?usp=sharing"",""สตูล!M277"")"),0)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IFERROR(__xludf.DUMMYFUNCTION("IMPORTRANGE(""https://docs.google.com/spreadsheets/d/1IYY_tgx_IHuhSq3AJ5eI5OnqOPBNLWSHKh2a30DoXe8/edit?usp=sharing"",""สตูล!L278"")"),87710)</f>
        <v>87710</v>
      </c>
      <c r="M383" s="169"/>
      <c r="N383" s="169">
        <f ca="1">IFERROR(__xludf.DUMMYFUNCTION("IMPORTRANGE(""https://docs.google.com/spreadsheets/d/1IYY_tgx_IHuhSq3AJ5eI5OnqOPBNLWSHKh2a30DoXe8/edit?usp=sharing"",""สตูล!M278"")"),76100)</f>
        <v>76100</v>
      </c>
      <c r="O383" s="169">
        <f t="shared" ca="1" si="109"/>
        <v>86.763196898871286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IFERROR(__xludf.DUMMYFUNCTION("IMPORTRANGE(""https://docs.google.com/spreadsheets/d/1IYY_tgx_IHuhSq3AJ5eI5OnqOPBNLWSHKh2a30DoXe8/edit?usp=sharing"",""สตูล!L279"")"),0)</f>
        <v>0</v>
      </c>
      <c r="M384" s="175"/>
      <c r="N384" s="175">
        <f ca="1">IFERROR(__xludf.DUMMYFUNCTION("IMPORTRANGE(""https://docs.google.com/spreadsheets/d/1IYY_tgx_IHuhSq3AJ5eI5OnqOPBNLWSHKh2a30DoXe8/edit?usp=sharing"",""สตูล!M279"")"),0)</f>
        <v>0</v>
      </c>
      <c r="O384" s="175">
        <f t="shared" ca="1" si="109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IFERROR(__xludf.DUMMYFUNCTION("IMPORTRANGE(""https://docs.google.com/spreadsheets/d/1IYY_tgx_IHuhSq3AJ5eI5OnqOPBNLWSHKh2a30DoXe8/edit?usp=sharing"",""สตูล!L280"")"),87710)</f>
        <v>87710</v>
      </c>
      <c r="M385" s="175"/>
      <c r="N385" s="172">
        <f ca="1">IFERROR(__xludf.DUMMYFUNCTION("IMPORTRANGE(""https://docs.google.com/spreadsheets/d/1IYY_tgx_IHuhSq3AJ5eI5OnqOPBNLWSHKh2a30DoXe8/edit?usp=sharing"",""สตูล!M280"")"),76100)</f>
        <v>76100</v>
      </c>
      <c r="O385" s="175">
        <f t="shared" ca="1" si="109"/>
        <v>86.763196898871286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IFERROR(__xludf.DUMMYFUNCTION("IMPORTRANGE(""https://docs.google.com/spreadsheets/d/1IYY_tgx_IHuhSq3AJ5eI5OnqOPBNLWSHKh2a30DoXe8/edit?usp=sharing"",""สตูล!M281"")"),32700)</f>
        <v>32700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IFERROR(__xludf.DUMMYFUNCTION("IMPORTRANGE(""https://docs.google.com/spreadsheets/d/1IYY_tgx_IHuhSq3AJ5eI5OnqOPBNLWSHKh2a30DoXe8/edit?usp=sharing"",""สตูล!M282"")"),31250)</f>
        <v>31250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IFERROR(__xludf.DUMMYFUNCTION("IMPORTRANGE(""https://docs.google.com/spreadsheets/d/1IYY_tgx_IHuhSq3AJ5eI5OnqOPBNLWSHKh2a30DoXe8/edit?usp=sharing"",""สตูล!M283"")"),0)</f>
        <v>0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IFERROR(__xludf.DUMMYFUNCTION("IMPORTRANGE(""https://docs.google.com/spreadsheets/d/1IYY_tgx_IHuhSq3AJ5eI5OnqOPBNLWSHKh2a30DoXe8/edit?usp=sharing"",""สตูล!M284"")"),12150)</f>
        <v>12150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IFERROR(__xludf.DUMMYFUNCTION("IMPORTRANGE(""https://docs.google.com/spreadsheets/d/1IYY_tgx_IHuhSq3AJ5eI5OnqOPBNLWSHKh2a30DoXe8/edit?usp=sharing"",""สตูล!J286"")"),0)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IFERROR(__xludf.DUMMYFUNCTION("IMPORTRANGE(""https://docs.google.com/spreadsheets/d/1IYY_tgx_IHuhSq3AJ5eI5OnqOPBNLWSHKh2a30DoXe8/edit?usp=sharing"",""สตูล!J287"")"),1)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IFERROR(__xludf.DUMMYFUNCTION("IMPORTRANGE(""https://docs.google.com/spreadsheets/d/1IYY_tgx_IHuhSq3AJ5eI5OnqOPBNLWSHKh2a30DoXe8/edit?usp=sharing"",""สตูล!J288"")"),1)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IFERROR(__xludf.DUMMYFUNCTION("IMPORTRANGE(""https://docs.google.com/spreadsheets/d/1IYY_tgx_IHuhSq3AJ5eI5OnqOPBNLWSHKh2a30DoXe8/edit?usp=sharing"",""สตูล!J289"")"),1)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IFERROR(__xludf.DUMMYFUNCTION("IMPORTRANGE(""https://docs.google.com/spreadsheets/d/1IYY_tgx_IHuhSq3AJ5eI5OnqOPBNLWSHKh2a30DoXe8/edit?usp=sharing"",""สตูล!I291"")"),5)</f>
        <v>5</v>
      </c>
      <c r="J396" s="204">
        <f ca="1">IFERROR(__xludf.DUMMYFUNCTION("IMPORTRANGE(""https://docs.google.com/spreadsheets/d/1IYY_tgx_IHuhSq3AJ5eI5OnqOPBNLWSHKh2a30DoXe8/edit?usp=sharing"",""สตูล!J291"")"),10)</f>
        <v>10</v>
      </c>
      <c r="K396" s="167">
        <f t="shared" ref="K396:K398" ca="1" si="110">IF(I396&gt;0,J396*100/I396,0)</f>
        <v>200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IFERROR(__xludf.DUMMYFUNCTION("IMPORTRANGE(""https://docs.google.com/spreadsheets/d/1IYY_tgx_IHuhSq3AJ5eI5OnqOPBNLWSHKh2a30DoXe8/edit?usp=sharing"",""สตูล!I292"")"),50)</f>
        <v>50</v>
      </c>
      <c r="J397" s="204">
        <f ca="1">IFERROR(__xludf.DUMMYFUNCTION("IMPORTRANGE(""https://docs.google.com/spreadsheets/d/1IYY_tgx_IHuhSq3AJ5eI5OnqOPBNLWSHKh2a30DoXe8/edit?usp=sharing"",""สตูล!J292"")"),50)</f>
        <v>50</v>
      </c>
      <c r="K397" s="167">
        <f t="shared" ca="1" si="110"/>
        <v>100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IFERROR(__xludf.DUMMYFUNCTION("IMPORTRANGE(""https://docs.google.com/spreadsheets/d/1IYY_tgx_IHuhSq3AJ5eI5OnqOPBNLWSHKh2a30DoXe8/edit?usp=sharing"",""สตูล!I293"")"),5)</f>
        <v>5</v>
      </c>
      <c r="J398" s="204">
        <f ca="1">IFERROR(__xludf.DUMMYFUNCTION("IMPORTRANGE(""https://docs.google.com/spreadsheets/d/1IYY_tgx_IHuhSq3AJ5eI5OnqOPBNLWSHKh2a30DoXe8/edit?usp=sharing"",""สตูล!J293"")"),5)</f>
        <v>5</v>
      </c>
      <c r="K398" s="167">
        <f t="shared" ca="1" si="110"/>
        <v>100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IFERROR(__xludf.DUMMYFUNCTION("IMPORTRANGE(""https://docs.google.com/spreadsheets/d/1IYY_tgx_IHuhSq3AJ5eI5OnqOPBNLWSHKh2a30DoXe8/edit?usp=sharing"",""สตูล!J294"")"),0)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IFERROR(__xludf.DUMMYFUNCTION("IMPORTRANGE(""https://docs.google.com/spreadsheets/d/1IYY_tgx_IHuhSq3AJ5eI5OnqOPBNLWSHKh2a30DoXe8/edit?usp=sharing"",""สตูล!J295"")"),0)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IFERROR(__xludf.DUMMYFUNCTION("IMPORTRANGE(""https://docs.google.com/spreadsheets/d/1IYY_tgx_IHuhSq3AJ5eI5OnqOPBNLWSHKh2a30DoXe8/edit?usp=sharing"",""สตูล!I296"")"),75)</f>
        <v>75</v>
      </c>
      <c r="J401" s="377">
        <f ca="1">IFERROR(__xludf.DUMMYFUNCTION("IMPORTRANGE(""https://docs.google.com/spreadsheets/d/1IYY_tgx_IHuhSq3AJ5eI5OnqOPBNLWSHKh2a30DoXe8/edit?usp=sharing"",""สตูล!J296"")"),75)</f>
        <v>75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IFERROR(__xludf.DUMMYFUNCTION("IMPORTRANGE(""https://docs.google.com/spreadsheets/d/1IYY_tgx_IHuhSq3AJ5eI5OnqOPBNLWSHKh2a30DoXe8/edit?usp=sharing"",""สตูล!L296"")"),81620)</f>
        <v>81620</v>
      </c>
      <c r="M401" s="379"/>
      <c r="N401" s="379">
        <f ca="1">IFERROR(__xludf.DUMMYFUNCTION("IMPORTRANGE(""https://docs.google.com/spreadsheets/d/1IYY_tgx_IHuhSq3AJ5eI5OnqOPBNLWSHKh2a30DoXe8/edit?usp=sharing"",""สตูล!M296"")"),79232)</f>
        <v>79232</v>
      </c>
      <c r="O401" s="379">
        <f ca="1">+IF(L401&gt;0,N401*100/L401,0)</f>
        <v>97.074246508208773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IFERROR(__xludf.DUMMYFUNCTION("IMPORTRANGE(""https://docs.google.com/spreadsheets/d/1IYY_tgx_IHuhSq3AJ5eI5OnqOPBNLWSHKh2a30DoXe8/edit?usp=sharing"",""สตูล!I297"")"),25)</f>
        <v>25</v>
      </c>
      <c r="J402" s="377">
        <f ca="1">IFERROR(__xludf.DUMMYFUNCTION("IMPORTRANGE(""https://docs.google.com/spreadsheets/d/1IYY_tgx_IHuhSq3AJ5eI5OnqOPBNLWSHKh2a30DoXe8/edit?usp=sharing"",""สตูล!J297"")"),25)</f>
        <v>25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IFERROR(__xludf.DUMMYFUNCTION("IMPORTRANGE(""https://docs.google.com/spreadsheets/d/1IYY_tgx_IHuhSq3AJ5eI5OnqOPBNLWSHKh2a30DoXe8/edit?usp=sharing"",""สตูล!L298"")"),0)</f>
        <v>0</v>
      </c>
      <c r="M403" s="168"/>
      <c r="N403" s="175">
        <f ca="1">IFERROR(__xludf.DUMMYFUNCTION("IMPORTRANGE(""https://docs.google.com/spreadsheets/d/1IYY_tgx_IHuhSq3AJ5eI5OnqOPBNLWSHKh2a30DoXe8/edit?usp=sharing"",""สตูล!M298"")"),0)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IFERROR(__xludf.DUMMYFUNCTION("IMPORTRANGE(""https://docs.google.com/spreadsheets/d/1IYY_tgx_IHuhSq3AJ5eI5OnqOPBNLWSHKh2a30DoXe8/edit?usp=sharing"",""สตูล!L299"")"),81620)</f>
        <v>81620</v>
      </c>
      <c r="M404" s="169"/>
      <c r="N404" s="175">
        <f ca="1">IFERROR(__xludf.DUMMYFUNCTION("IMPORTRANGE(""https://docs.google.com/spreadsheets/d/1IYY_tgx_IHuhSq3AJ5eI5OnqOPBNLWSHKh2a30DoXe8/edit?usp=sharing"",""สตูล!M299"")"),79232)</f>
        <v>79232</v>
      </c>
      <c r="O404" s="175">
        <f t="shared" ca="1" si="112"/>
        <v>97.074246508208773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IFERROR(__xludf.DUMMYFUNCTION("IMPORTRANGE(""https://docs.google.com/spreadsheets/d/1IYY_tgx_IHuhSq3AJ5eI5OnqOPBNLWSHKh2a30DoXe8/edit?usp=sharing"",""สตูล!L300"")"),0)</f>
        <v>0</v>
      </c>
      <c r="M405" s="175"/>
      <c r="N405" s="175">
        <f ca="1">IFERROR(__xludf.DUMMYFUNCTION("IMPORTRANGE(""https://docs.google.com/spreadsheets/d/1IYY_tgx_IHuhSq3AJ5eI5OnqOPBNLWSHKh2a30DoXe8/edit?usp=sharing"",""สตูล!M300"")"),0)</f>
        <v>0</v>
      </c>
      <c r="O405" s="175">
        <f t="shared" ca="1" si="112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IFERROR(__xludf.DUMMYFUNCTION("IMPORTRANGE(""https://docs.google.com/spreadsheets/d/1IYY_tgx_IHuhSq3AJ5eI5OnqOPBNLWSHKh2a30DoXe8/edit?usp=sharing"",""สตูล!L301"")"),81620)</f>
        <v>81620</v>
      </c>
      <c r="M406" s="175"/>
      <c r="N406" s="175">
        <f ca="1">IFERROR(__xludf.DUMMYFUNCTION("IMPORTRANGE(""https://docs.google.com/spreadsheets/d/1IYY_tgx_IHuhSq3AJ5eI5OnqOPBNLWSHKh2a30DoXe8/edit?usp=sharing"",""สตูล!M301"")"),79232)</f>
        <v>79232</v>
      </c>
      <c r="O406" s="175">
        <f t="shared" ca="1" si="112"/>
        <v>97.074246508208773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IFERROR(__xludf.DUMMYFUNCTION("IMPORTRANGE(""https://docs.google.com/spreadsheets/d/1IYY_tgx_IHuhSq3AJ5eI5OnqOPBNLWSHKh2a30DoXe8/edit?usp=sharing"",""สตูล!M302"")"),44900)</f>
        <v>44900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IFERROR(__xludf.DUMMYFUNCTION("IMPORTRANGE(""https://docs.google.com/spreadsheets/d/1IYY_tgx_IHuhSq3AJ5eI5OnqOPBNLWSHKh2a30DoXe8/edit?usp=sharing"",""สตูล!M303"")"),15000)</f>
        <v>15000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IFERROR(__xludf.DUMMYFUNCTION("IMPORTRANGE(""https://docs.google.com/spreadsheets/d/1IYY_tgx_IHuhSq3AJ5eI5OnqOPBNLWSHKh2a30DoXe8/edit?usp=sharing"",""สตูล!M304"")"),0)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IFERROR(__xludf.DUMMYFUNCTION("IMPORTRANGE(""https://docs.google.com/spreadsheets/d/1IYY_tgx_IHuhSq3AJ5eI5OnqOPBNLWSHKh2a30DoXe8/edit?usp=sharing"",""สตูล!M305"")"),19332)</f>
        <v>19332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IFERROR(__xludf.DUMMYFUNCTION("IMPORTRANGE(""https://docs.google.com/spreadsheets/d/1IYY_tgx_IHuhSq3AJ5eI5OnqOPBNLWSHKh2a30DoXe8/edit?usp=sharing"",""สตูล!J307"")"),0)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IFERROR(__xludf.DUMMYFUNCTION("IMPORTRANGE(""https://docs.google.com/spreadsheets/d/1IYY_tgx_IHuhSq3AJ5eI5OnqOPBNLWSHKh2a30DoXe8/edit?usp=sharing"",""สตูล!J308"")"),1)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IFERROR(__xludf.DUMMYFUNCTION("IMPORTRANGE(""https://docs.google.com/spreadsheets/d/1IYY_tgx_IHuhSq3AJ5eI5OnqOPBNLWSHKh2a30DoXe8/edit?usp=sharing"",""สตูล!J309"")"),1)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IFERROR(__xludf.DUMMYFUNCTION("IMPORTRANGE(""https://docs.google.com/spreadsheets/d/1IYY_tgx_IHuhSq3AJ5eI5OnqOPBNLWSHKh2a30DoXe8/edit?usp=sharing"",""สตูล!J310"")"),1)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IFERROR(__xludf.DUMMYFUNCTION("IMPORTRANGE(""https://docs.google.com/spreadsheets/d/1IYY_tgx_IHuhSq3AJ5eI5OnqOPBNLWSHKh2a30DoXe8/edit?usp=sharing"",""สตูล!I311"")"),25)</f>
        <v>25</v>
      </c>
      <c r="J416" s="207">
        <f ca="1">IFERROR(__xludf.DUMMYFUNCTION("IMPORTRANGE(""https://docs.google.com/spreadsheets/d/1IYY_tgx_IHuhSq3AJ5eI5OnqOPBNLWSHKh2a30DoXe8/edit?usp=sharing"",""สตูล!J311"")"),25)</f>
        <v>25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IFERROR(__xludf.DUMMYFUNCTION("IMPORTRANGE(""https://docs.google.com/spreadsheets/d/1IYY_tgx_IHuhSq3AJ5eI5OnqOPBNLWSHKh2a30DoXe8/edit?usp=sharing"",""สตูล!I312"")"),10)</f>
        <v>10</v>
      </c>
      <c r="J417" s="398">
        <f ca="1">IFERROR(__xludf.DUMMYFUNCTION("IMPORTRANGE(""https://docs.google.com/spreadsheets/d/1IYY_tgx_IHuhSq3AJ5eI5OnqOPBNLWSHKh2a30DoXe8/edit?usp=sharing"",""สตูล!J312"")"),10)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IFERROR(__xludf.DUMMYFUNCTION("IMPORTRANGE(""https://docs.google.com/spreadsheets/d/1IYY_tgx_IHuhSq3AJ5eI5OnqOPBNLWSHKh2a30DoXe8/edit?usp=sharing"",""สตูล!I313"")"),30)</f>
        <v>30</v>
      </c>
      <c r="J418" s="399">
        <f ca="1">IFERROR(__xludf.DUMMYFUNCTION("IMPORTRANGE(""https://docs.google.com/spreadsheets/d/1IYY_tgx_IHuhSq3AJ5eI5OnqOPBNLWSHKh2a30DoXe8/edit?usp=sharing"",""สตูล!J313"")"),30)</f>
        <v>30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IFERROR(__xludf.DUMMYFUNCTION("IMPORTRANGE(""https://docs.google.com/spreadsheets/d/1IYY_tgx_IHuhSq3AJ5eI5OnqOPBNLWSHKh2a30DoXe8/edit?usp=sharing"",""สตูล!I314"")"),10)</f>
        <v>10</v>
      </c>
      <c r="J419" s="400">
        <f ca="1">IFERROR(__xludf.DUMMYFUNCTION("IMPORTRANGE(""https://docs.google.com/spreadsheets/d/1IYY_tgx_IHuhSq3AJ5eI5OnqOPBNLWSHKh2a30DoXe8/edit?usp=sharing"",""สตูล!J314"")"),10)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IFERROR(__xludf.DUMMYFUNCTION("IMPORTRANGE(""https://docs.google.com/spreadsheets/d/1IYY_tgx_IHuhSq3AJ5eI5OnqOPBNLWSHKh2a30DoXe8/edit?usp=sharing"",""สตูล!I315"")"),10)</f>
        <v>10</v>
      </c>
      <c r="J420" s="400">
        <f ca="1">IFERROR(__xludf.DUMMYFUNCTION("IMPORTRANGE(""https://docs.google.com/spreadsheets/d/1IYY_tgx_IHuhSq3AJ5eI5OnqOPBNLWSHKh2a30DoXe8/edit?usp=sharing"",""สตูล!J315"")"),10)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IFERROR(__xludf.DUMMYFUNCTION("IMPORTRANGE(""https://docs.google.com/spreadsheets/d/1IYY_tgx_IHuhSq3AJ5eI5OnqOPBNLWSHKh2a30DoXe8/edit?usp=sharing"",""สตูล!I316"")"),0)</f>
        <v>0</v>
      </c>
      <c r="J421" s="398">
        <f ca="1">IFERROR(__xludf.DUMMYFUNCTION("IMPORTRANGE(""https://docs.google.com/spreadsheets/d/1IYY_tgx_IHuhSq3AJ5eI5OnqOPBNLWSHKh2a30DoXe8/edit?usp=sharing"",""สตูล!J316"")"),0)</f>
        <v>0</v>
      </c>
      <c r="K421" s="208">
        <f t="shared" ca="1" si="113"/>
        <v>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IFERROR(__xludf.DUMMYFUNCTION("IMPORTRANGE(""https://docs.google.com/spreadsheets/d/1IYY_tgx_IHuhSq3AJ5eI5OnqOPBNLWSHKh2a30DoXe8/edit?usp=sharing"",""สตูล!I317"")"),0)</f>
        <v>0</v>
      </c>
      <c r="J422" s="399">
        <f ca="1">IFERROR(__xludf.DUMMYFUNCTION("IMPORTRANGE(""https://docs.google.com/spreadsheets/d/1IYY_tgx_IHuhSq3AJ5eI5OnqOPBNLWSHKh2a30DoXe8/edit?usp=sharing"",""สตูล!J317"")"),0)</f>
        <v>0</v>
      </c>
      <c r="K422" s="208">
        <f t="shared" ca="1" si="113"/>
        <v>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IFERROR(__xludf.DUMMYFUNCTION("IMPORTRANGE(""https://docs.google.com/spreadsheets/d/1IYY_tgx_IHuhSq3AJ5eI5OnqOPBNLWSHKh2a30DoXe8/edit?usp=sharing"",""สตูล!I318"")"),0)</f>
        <v>0</v>
      </c>
      <c r="J423" s="400">
        <f ca="1">IFERROR(__xludf.DUMMYFUNCTION("IMPORTRANGE(""https://docs.google.com/spreadsheets/d/1IYY_tgx_IHuhSq3AJ5eI5OnqOPBNLWSHKh2a30DoXe8/edit?usp=sharing"",""สตูล!J318"")"),0)</f>
        <v>0</v>
      </c>
      <c r="K423" s="167">
        <f t="shared" ca="1" si="113"/>
        <v>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IFERROR(__xludf.DUMMYFUNCTION("IMPORTRANGE(""https://docs.google.com/spreadsheets/d/1IYY_tgx_IHuhSq3AJ5eI5OnqOPBNLWSHKh2a30DoXe8/edit?usp=sharing"",""สตูล!I319"")"),0)</f>
        <v>0</v>
      </c>
      <c r="J424" s="400">
        <f ca="1">IFERROR(__xludf.DUMMYFUNCTION("IMPORTRANGE(""https://docs.google.com/spreadsheets/d/1IYY_tgx_IHuhSq3AJ5eI5OnqOPBNLWSHKh2a30DoXe8/edit?usp=sharing"",""สตูล!J319"")"),0)</f>
        <v>0</v>
      </c>
      <c r="K424" s="167">
        <f t="shared" ca="1" si="113"/>
        <v>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IFERROR(__xludf.DUMMYFUNCTION("IMPORTRANGE(""https://docs.google.com/spreadsheets/d/1IYY_tgx_IHuhSq3AJ5eI5OnqOPBNLWSHKh2a30DoXe8/edit?usp=sharing"",""สตูล!I320"")"),0)</f>
        <v>0</v>
      </c>
      <c r="J425" s="400">
        <f ca="1">IFERROR(__xludf.DUMMYFUNCTION("IMPORTRANGE(""https://docs.google.com/spreadsheets/d/1IYY_tgx_IHuhSq3AJ5eI5OnqOPBNLWSHKh2a30DoXe8/edit?usp=sharing"",""สตูล!J320"")"),0)</f>
        <v>0</v>
      </c>
      <c r="K425" s="167">
        <f t="shared" ca="1" si="113"/>
        <v>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IFERROR(__xludf.DUMMYFUNCTION("IMPORTRANGE(""https://docs.google.com/spreadsheets/d/1IYY_tgx_IHuhSq3AJ5eI5OnqOPBNLWSHKh2a30DoXe8/edit?usp=sharing"",""สตูล!I321"")"),15)</f>
        <v>15</v>
      </c>
      <c r="J426" s="398">
        <f ca="1">IFERROR(__xludf.DUMMYFUNCTION("IMPORTRANGE(""https://docs.google.com/spreadsheets/d/1IYY_tgx_IHuhSq3AJ5eI5OnqOPBNLWSHKh2a30DoXe8/edit?usp=sharing"",""สตูล!J321"")"),15)</f>
        <v>15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IFERROR(__xludf.DUMMYFUNCTION("IMPORTRANGE(""https://docs.google.com/spreadsheets/d/1IYY_tgx_IHuhSq3AJ5eI5OnqOPBNLWSHKh2a30DoXe8/edit?usp=sharing"",""สตูล!I322"")"),45)</f>
        <v>45</v>
      </c>
      <c r="J427" s="399">
        <f ca="1">IFERROR(__xludf.DUMMYFUNCTION("IMPORTRANGE(""https://docs.google.com/spreadsheets/d/1IYY_tgx_IHuhSq3AJ5eI5OnqOPBNLWSHKh2a30DoXe8/edit?usp=sharing"",""สตูล!J322"")"),45)</f>
        <v>45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IFERROR(__xludf.DUMMYFUNCTION("IMPORTRANGE(""https://docs.google.com/spreadsheets/d/1IYY_tgx_IHuhSq3AJ5eI5OnqOPBNLWSHKh2a30DoXe8/edit?usp=sharing"",""สตูล!I323"")"),15)</f>
        <v>15</v>
      </c>
      <c r="J428" s="400">
        <f ca="1">IFERROR(__xludf.DUMMYFUNCTION("IMPORTRANGE(""https://docs.google.com/spreadsheets/d/1IYY_tgx_IHuhSq3AJ5eI5OnqOPBNLWSHKh2a30DoXe8/edit?usp=sharing"",""สตูล!J323"")"),15)</f>
        <v>15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IFERROR(__xludf.DUMMYFUNCTION("IMPORTRANGE(""https://docs.google.com/spreadsheets/d/1IYY_tgx_IHuhSq3AJ5eI5OnqOPBNLWSHKh2a30DoXe8/edit?usp=sharing"",""สตูล!I324"")"),15)</f>
        <v>15</v>
      </c>
      <c r="J429" s="400">
        <f ca="1">IFERROR(__xludf.DUMMYFUNCTION("IMPORTRANGE(""https://docs.google.com/spreadsheets/d/1IYY_tgx_IHuhSq3AJ5eI5OnqOPBNLWSHKh2a30DoXe8/edit?usp=sharing"",""สตูล!J324"")"),15)</f>
        <v>15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IFERROR(__xludf.DUMMYFUNCTION("IMPORTRANGE(""https://docs.google.com/spreadsheets/d/1IYY_tgx_IHuhSq3AJ5eI5OnqOPBNLWSHKh2a30DoXe8/edit?usp=sharing"",""สตูล!I325"")"),10)</f>
        <v>10</v>
      </c>
      <c r="J430" s="398">
        <f ca="1">IFERROR(__xludf.DUMMYFUNCTION("IMPORTRANGE(""https://docs.google.com/spreadsheets/d/1IYY_tgx_IHuhSq3AJ5eI5OnqOPBNLWSHKh2a30DoXe8/edit?usp=sharing"",""สตูล!J325"")"),10)</f>
        <v>10</v>
      </c>
      <c r="K430" s="208">
        <f t="shared" ca="1" si="113"/>
        <v>100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IFERROR(__xludf.DUMMYFUNCTION("IMPORTRANGE(""https://docs.google.com/spreadsheets/d/1IYY_tgx_IHuhSq3AJ5eI5OnqOPBNLWSHKh2a30DoXe8/edit?usp=sharing"",""สตูล!I326"")"),10)</f>
        <v>10</v>
      </c>
      <c r="J431" s="400">
        <f ca="1">IFERROR(__xludf.DUMMYFUNCTION("IMPORTRANGE(""https://docs.google.com/spreadsheets/d/1IYY_tgx_IHuhSq3AJ5eI5OnqOPBNLWSHKh2a30DoXe8/edit?usp=sharing"",""สตูล!J326"")"),10)</f>
        <v>10</v>
      </c>
      <c r="K431" s="167">
        <f t="shared" ca="1" si="113"/>
        <v>100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IFERROR(__xludf.DUMMYFUNCTION("IMPORTRANGE(""https://docs.google.com/spreadsheets/d/1IYY_tgx_IHuhSq3AJ5eI5OnqOPBNLWSHKh2a30DoXe8/edit?usp=sharing"",""สตูล!I327"")"),0)</f>
        <v>0</v>
      </c>
      <c r="J432" s="400">
        <f ca="1">IFERROR(__xludf.DUMMYFUNCTION("IMPORTRANGE(""https://docs.google.com/spreadsheets/d/1IYY_tgx_IHuhSq3AJ5eI5OnqOPBNLWSHKh2a30DoXe8/edit?usp=sharing"",""สตูล!J327"")"),0)</f>
        <v>0</v>
      </c>
      <c r="K432" s="167">
        <f t="shared" ca="1" si="113"/>
        <v>0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IFERROR(__xludf.DUMMYFUNCTION("IMPORTRANGE(""https://docs.google.com/spreadsheets/d/1IYY_tgx_IHuhSq3AJ5eI5OnqOPBNLWSHKh2a30DoXe8/edit?usp=sharing"",""สตูล!J328"")"),0)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IFERROR(__xludf.DUMMYFUNCTION("IMPORTRANGE(""https://docs.google.com/spreadsheets/d/1IYY_tgx_IHuhSq3AJ5eI5OnqOPBNLWSHKh2a30DoXe8/edit?usp=sharing"",""สตูล!J329"")"),0)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IFERROR(__xludf.DUMMYFUNCTION("IMPORTRANGE(""https://docs.google.com/spreadsheets/d/1IYY_tgx_IHuhSq3AJ5eI5OnqOPBNLWSHKh2a30DoXe8/edit?usp=sharing"",""สตูล!I330"")"),10)</f>
        <v>10</v>
      </c>
      <c r="J435" s="416">
        <f ca="1">IFERROR(__xludf.DUMMYFUNCTION("IMPORTRANGE(""https://docs.google.com/spreadsheets/d/1IYY_tgx_IHuhSq3AJ5eI5OnqOPBNLWSHKh2a30DoXe8/edit?usp=sharing"",""สตูล!J330"")"),10)</f>
        <v>10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IFERROR(__xludf.DUMMYFUNCTION("IMPORTRANGE(""https://docs.google.com/spreadsheets/d/1IYY_tgx_IHuhSq3AJ5eI5OnqOPBNLWSHKh2a30DoXe8/edit?usp=sharing"",""สตูล!L330"")"),76000)</f>
        <v>76000</v>
      </c>
      <c r="M435" s="418"/>
      <c r="N435" s="418">
        <f ca="1">IFERROR(__xludf.DUMMYFUNCTION("IMPORTRANGE(""https://docs.google.com/spreadsheets/d/1IYY_tgx_IHuhSq3AJ5eI5OnqOPBNLWSHKh2a30DoXe8/edit?usp=sharing"",""สตูล!M330"")"),72090)</f>
        <v>72090</v>
      </c>
      <c r="O435" s="418">
        <f t="shared" ref="O435:O439" ca="1" si="114">+IF(L435&gt;0,N435*100/L435,0)</f>
        <v>94.85526315789474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IFERROR(__xludf.DUMMYFUNCTION("IMPORTRANGE(""https://docs.google.com/spreadsheets/d/1IYY_tgx_IHuhSq3AJ5eI5OnqOPBNLWSHKh2a30DoXe8/edit?usp=sharing"",""สตูล!L331"")"),0)</f>
        <v>0</v>
      </c>
      <c r="M436" s="168"/>
      <c r="N436" s="175">
        <f ca="1">IFERROR(__xludf.DUMMYFUNCTION("IMPORTRANGE(""https://docs.google.com/spreadsheets/d/1IYY_tgx_IHuhSq3AJ5eI5OnqOPBNLWSHKh2a30DoXe8/edit?usp=sharing"",""สตูล!M331"")"),0)</f>
        <v>0</v>
      </c>
      <c r="O436" s="175">
        <f t="shared" ca="1" si="114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IFERROR(__xludf.DUMMYFUNCTION("IMPORTRANGE(""https://docs.google.com/spreadsheets/d/1IYY_tgx_IHuhSq3AJ5eI5OnqOPBNLWSHKh2a30DoXe8/edit?usp=sharing"",""สตูล!L332"")"),76000)</f>
        <v>76000</v>
      </c>
      <c r="M437" s="169"/>
      <c r="N437" s="175">
        <f ca="1">IFERROR(__xludf.DUMMYFUNCTION("IMPORTRANGE(""https://docs.google.com/spreadsheets/d/1IYY_tgx_IHuhSq3AJ5eI5OnqOPBNLWSHKh2a30DoXe8/edit?usp=sharing"",""สตูล!M332"")"),72090)</f>
        <v>72090</v>
      </c>
      <c r="O437" s="175">
        <f t="shared" ca="1" si="114"/>
        <v>94.85526315789474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IFERROR(__xludf.DUMMYFUNCTION("IMPORTRANGE(""https://docs.google.com/spreadsheets/d/1IYY_tgx_IHuhSq3AJ5eI5OnqOPBNLWSHKh2a30DoXe8/edit?usp=sharing"",""สตูล!L333"")"),0)</f>
        <v>0</v>
      </c>
      <c r="M438" s="175"/>
      <c r="N438" s="175">
        <f ca="1">IFERROR(__xludf.DUMMYFUNCTION("IMPORTRANGE(""https://docs.google.com/spreadsheets/d/1IYY_tgx_IHuhSq3AJ5eI5OnqOPBNLWSHKh2a30DoXe8/edit?usp=sharing"",""สตูล!M333"")"),0)</f>
        <v>0</v>
      </c>
      <c r="O438" s="175">
        <f t="shared" ca="1" si="114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IFERROR(__xludf.DUMMYFUNCTION("IMPORTRANGE(""https://docs.google.com/spreadsheets/d/1IYY_tgx_IHuhSq3AJ5eI5OnqOPBNLWSHKh2a30DoXe8/edit?usp=sharing"",""สตูล!L334"")"),76000)</f>
        <v>76000</v>
      </c>
      <c r="M439" s="175"/>
      <c r="N439" s="175">
        <f ca="1">IFERROR(__xludf.DUMMYFUNCTION("IMPORTRANGE(""https://docs.google.com/spreadsheets/d/1IYY_tgx_IHuhSq3AJ5eI5OnqOPBNLWSHKh2a30DoXe8/edit?usp=sharing"",""สตูล!M334"")"),72090)</f>
        <v>72090</v>
      </c>
      <c r="O439" s="175">
        <f t="shared" ca="1" si="114"/>
        <v>94.85526315789474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IFERROR(__xludf.DUMMYFUNCTION("IMPORTRANGE(""https://docs.google.com/spreadsheets/d/1IYY_tgx_IHuhSq3AJ5eI5OnqOPBNLWSHKh2a30DoXe8/edit?usp=sharing"",""สตูล!M335"")"),25200)</f>
        <v>25200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IFERROR(__xludf.DUMMYFUNCTION("IMPORTRANGE(""https://docs.google.com/spreadsheets/d/1IYY_tgx_IHuhSq3AJ5eI5OnqOPBNLWSHKh2a30DoXe8/edit?usp=sharing"",""สตูล!M336"")"),0)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IFERROR(__xludf.DUMMYFUNCTION("IMPORTRANGE(""https://docs.google.com/spreadsheets/d/1IYY_tgx_IHuhSq3AJ5eI5OnqOPBNLWSHKh2a30DoXe8/edit?usp=sharing"",""สตูล!M337"")"),0)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IFERROR(__xludf.DUMMYFUNCTION("IMPORTRANGE(""https://docs.google.com/spreadsheets/d/1IYY_tgx_IHuhSq3AJ5eI5OnqOPBNLWSHKh2a30DoXe8/edit?usp=sharing"",""สตูล!M338"")"),46890)</f>
        <v>46890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IFERROR(__xludf.DUMMYFUNCTION("IMPORTRANGE(""https://docs.google.com/spreadsheets/d/1IYY_tgx_IHuhSq3AJ5eI5OnqOPBNLWSHKh2a30DoXe8/edit?usp=sharing"",""สตูล!J340"")"),0)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IFERROR(__xludf.DUMMYFUNCTION("IMPORTRANGE(""https://docs.google.com/spreadsheets/d/1IYY_tgx_IHuhSq3AJ5eI5OnqOPBNLWSHKh2a30DoXe8/edit?usp=sharing"",""สตูล!J341"")"),1)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IFERROR(__xludf.DUMMYFUNCTION("IMPORTRANGE(""https://docs.google.com/spreadsheets/d/1IYY_tgx_IHuhSq3AJ5eI5OnqOPBNLWSHKh2a30DoXe8/edit?usp=sharing"",""สตูล!J342"")"),1)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IFERROR(__xludf.DUMMYFUNCTION("IMPORTRANGE(""https://docs.google.com/spreadsheets/d/1IYY_tgx_IHuhSq3AJ5eI5OnqOPBNLWSHKh2a30DoXe8/edit?usp=sharing"",""สตูล!J343"")"),1)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IFERROR(__xludf.DUMMYFUNCTION("IMPORTRANGE(""https://docs.google.com/spreadsheets/d/1IYY_tgx_IHuhSq3AJ5eI5OnqOPBNLWSHKh2a30DoXe8/edit?usp=sharing"",""สตูล!I344"")"),10)</f>
        <v>10</v>
      </c>
      <c r="J449" s="207">
        <f ca="1">IFERROR(__xludf.DUMMYFUNCTION("IMPORTRANGE(""https://docs.google.com/spreadsheets/d/1IYY_tgx_IHuhSq3AJ5eI5OnqOPBNLWSHKh2a30DoXe8/edit?usp=sharing"",""สตูล!J344"")"),10)</f>
        <v>10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IFERROR(__xludf.DUMMYFUNCTION("IMPORTRANGE(""https://docs.google.com/spreadsheets/d/1IYY_tgx_IHuhSq3AJ5eI5OnqOPBNLWSHKh2a30DoXe8/edit?usp=sharing"",""สตูล!I345"")"),10)</f>
        <v>10</v>
      </c>
      <c r="J450" s="195">
        <f ca="1">IFERROR(__xludf.DUMMYFUNCTION("IMPORTRANGE(""https://docs.google.com/spreadsheets/d/1IYY_tgx_IHuhSq3AJ5eI5OnqOPBNLWSHKh2a30DoXe8/edit?usp=sharing"",""สตูล!J345"")"),10)</f>
        <v>10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IFERROR(__xludf.DUMMYFUNCTION("IMPORTRANGE(""https://docs.google.com/spreadsheets/d/1IYY_tgx_IHuhSq3AJ5eI5OnqOPBNLWSHKh2a30DoXe8/edit?usp=sharing"",""สตูล!I346"")"),0)</f>
        <v>0</v>
      </c>
      <c r="J451" s="194">
        <f ca="1">IFERROR(__xludf.DUMMYFUNCTION("IMPORTRANGE(""https://docs.google.com/spreadsheets/d/1IYY_tgx_IHuhSq3AJ5eI5OnqOPBNLWSHKh2a30DoXe8/edit?usp=sharing"",""สตูล!J346"")"),0)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IFERROR(__xludf.DUMMYFUNCTION("IMPORTRANGE(""https://docs.google.com/spreadsheets/d/1IYY_tgx_IHuhSq3AJ5eI5OnqOPBNLWSHKh2a30DoXe8/edit?usp=sharing"",""สตูล!I347"")"),0)</f>
        <v>0</v>
      </c>
      <c r="J452" s="194">
        <f ca="1">IFERROR(__xludf.DUMMYFUNCTION("IMPORTRANGE(""https://docs.google.com/spreadsheets/d/1IYY_tgx_IHuhSq3AJ5eI5OnqOPBNLWSHKh2a30DoXe8/edit?usp=sharing"",""สตูล!J347"")"),0)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IFERROR(__xludf.DUMMYFUNCTION("IMPORTRANGE(""https://docs.google.com/spreadsheets/d/1IYY_tgx_IHuhSq3AJ5eI5OnqOPBNLWSHKh2a30DoXe8/edit?usp=sharing"",""สตูล!J348"")"),0)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IFERROR(__xludf.DUMMYFUNCTION("IMPORTRANGE(""https://docs.google.com/spreadsheets/d/1IYY_tgx_IHuhSq3AJ5eI5OnqOPBNLWSHKh2a30DoXe8/edit?usp=sharing"",""สตูล!J349"")"),0)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IFERROR(__xludf.DUMMYFUNCTION("IMPORTRANGE(""https://docs.google.com/spreadsheets/d/1IYY_tgx_IHuhSq3AJ5eI5OnqOPBNLWSHKh2a30DoXe8/edit?usp=sharing"",""สตูล!I350"")"),9865)</f>
        <v>9865</v>
      </c>
      <c r="J455" s="377">
        <f ca="1">IFERROR(__xludf.DUMMYFUNCTION("IMPORTRANGE(""https://docs.google.com/spreadsheets/d/1IYY_tgx_IHuhSq3AJ5eI5OnqOPBNLWSHKh2a30DoXe8/edit?usp=sharing"",""สตูล!J350"")"),9867)</f>
        <v>9867</v>
      </c>
      <c r="K455" s="378">
        <f ca="1">IF(I455&gt;0,J455*100/I455,0)</f>
        <v>100.0202736948809</v>
      </c>
      <c r="L455" s="379">
        <f ca="1">IFERROR(__xludf.DUMMYFUNCTION("IMPORTRANGE(""https://docs.google.com/spreadsheets/d/1IYY_tgx_IHuhSq3AJ5eI5OnqOPBNLWSHKh2a30DoXe8/edit?usp=sharing"",""สตูล!L350"")"),90926)</f>
        <v>90926</v>
      </c>
      <c r="M455" s="379"/>
      <c r="N455" s="379">
        <f ca="1">IFERROR(__xludf.DUMMYFUNCTION("IMPORTRANGE(""https://docs.google.com/spreadsheets/d/1IYY_tgx_IHuhSq3AJ5eI5OnqOPBNLWSHKh2a30DoXe8/edit?usp=sharing"",""สตูล!M350"")"),84750.36)</f>
        <v>84750.36</v>
      </c>
      <c r="O455" s="379">
        <f t="shared" ref="O455:O459" ca="1" si="116">+IF(L455&gt;0,N455*100/L455,0)</f>
        <v>93.208059300970021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IFERROR(__xludf.DUMMYFUNCTION("IMPORTRANGE(""https://docs.google.com/spreadsheets/d/1IYY_tgx_IHuhSq3AJ5eI5OnqOPBNLWSHKh2a30DoXe8/edit?usp=sharing"",""สตูล!L351"")"),0)</f>
        <v>0</v>
      </c>
      <c r="M456" s="168"/>
      <c r="N456" s="175">
        <f ca="1">IFERROR(__xludf.DUMMYFUNCTION("IMPORTRANGE(""https://docs.google.com/spreadsheets/d/1IYY_tgx_IHuhSq3AJ5eI5OnqOPBNLWSHKh2a30DoXe8/edit?usp=sharing"",""สตูล!M351"")"),0)</f>
        <v>0</v>
      </c>
      <c r="O456" s="175">
        <f t="shared" ca="1" si="116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IFERROR(__xludf.DUMMYFUNCTION("IMPORTRANGE(""https://docs.google.com/spreadsheets/d/1IYY_tgx_IHuhSq3AJ5eI5OnqOPBNLWSHKh2a30DoXe8/edit?usp=sharing"",""สตูล!L352"")"),90926)</f>
        <v>90926</v>
      </c>
      <c r="M457" s="169"/>
      <c r="N457" s="175">
        <f ca="1">IFERROR(__xludf.DUMMYFUNCTION("IMPORTRANGE(""https://docs.google.com/spreadsheets/d/1IYY_tgx_IHuhSq3AJ5eI5OnqOPBNLWSHKh2a30DoXe8/edit?usp=sharing"",""สตูล!M352"")"),84750.36)</f>
        <v>84750.36</v>
      </c>
      <c r="O457" s="175">
        <f t="shared" ca="1" si="116"/>
        <v>93.208059300970021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IFERROR(__xludf.DUMMYFUNCTION("IMPORTRANGE(""https://docs.google.com/spreadsheets/d/1IYY_tgx_IHuhSq3AJ5eI5OnqOPBNLWSHKh2a30DoXe8/edit?usp=sharing"",""สตูล!L353"")"),0)</f>
        <v>0</v>
      </c>
      <c r="M458" s="175"/>
      <c r="N458" s="175">
        <f ca="1">IFERROR(__xludf.DUMMYFUNCTION("IMPORTRANGE(""https://docs.google.com/spreadsheets/d/1IYY_tgx_IHuhSq3AJ5eI5OnqOPBNLWSHKh2a30DoXe8/edit?usp=sharing"",""สตูล!M353"")"),0)</f>
        <v>0</v>
      </c>
      <c r="O458" s="175">
        <f t="shared" ca="1" si="116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IFERROR(__xludf.DUMMYFUNCTION("IMPORTRANGE(""https://docs.google.com/spreadsheets/d/1IYY_tgx_IHuhSq3AJ5eI5OnqOPBNLWSHKh2a30DoXe8/edit?usp=sharing"",""สตูล!L354"")"),90926)</f>
        <v>90926</v>
      </c>
      <c r="M459" s="175"/>
      <c r="N459" s="175">
        <f ca="1">IFERROR(__xludf.DUMMYFUNCTION("IMPORTRANGE(""https://docs.google.com/spreadsheets/d/1IYY_tgx_IHuhSq3AJ5eI5OnqOPBNLWSHKh2a30DoXe8/edit?usp=sharing"",""สตูล!M354"")"),84750.36)</f>
        <v>84750.36</v>
      </c>
      <c r="O459" s="175">
        <f t="shared" ca="1" si="116"/>
        <v>93.208059300970021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IFERROR(__xludf.DUMMYFUNCTION("IMPORTRANGE(""https://docs.google.com/spreadsheets/d/1IYY_tgx_IHuhSq3AJ5eI5OnqOPBNLWSHKh2a30DoXe8/edit?usp=sharing"",""สตูล!M355"")"),0)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IFERROR(__xludf.DUMMYFUNCTION("IMPORTRANGE(""https://docs.google.com/spreadsheets/d/1IYY_tgx_IHuhSq3AJ5eI5OnqOPBNLWSHKh2a30DoXe8/edit?usp=sharing"",""สตูล!M356"")"),0)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IFERROR(__xludf.DUMMYFUNCTION("IMPORTRANGE(""https://docs.google.com/spreadsheets/d/1IYY_tgx_IHuhSq3AJ5eI5OnqOPBNLWSHKh2a30DoXe8/edit?usp=sharing"",""สตูล!M357"")"),0)</f>
        <v>0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IFERROR(__xludf.DUMMYFUNCTION("IMPORTRANGE(""https://docs.google.com/spreadsheets/d/1IYY_tgx_IHuhSq3AJ5eI5OnqOPBNLWSHKh2a30DoXe8/edit?usp=sharing"",""สตูล!M358"")"),84750.36)</f>
        <v>84750.36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IFERROR(__xludf.DUMMYFUNCTION("IMPORTRANGE(""https://docs.google.com/spreadsheets/d/1IYY_tgx_IHuhSq3AJ5eI5OnqOPBNLWSHKh2a30DoXe8/edit?usp=sharing"",""สตูล!I359"")"),9865)</f>
        <v>9865</v>
      </c>
      <c r="J464" s="273">
        <f ca="1">IFERROR(__xludf.DUMMYFUNCTION("IMPORTRANGE(""https://docs.google.com/spreadsheets/d/1IYY_tgx_IHuhSq3AJ5eI5OnqOPBNLWSHKh2a30DoXe8/edit?usp=sharing"",""สตูล!J359"")"),9867)</f>
        <v>9867</v>
      </c>
      <c r="K464" s="274">
        <f t="shared" ref="K464:K515" ca="1" si="117">IF(I464&gt;0,J464*100/I464,0)</f>
        <v>100.0202736948809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IFERROR(__xludf.DUMMYFUNCTION("IMPORTRANGE(""https://docs.google.com/spreadsheets/d/1IYY_tgx_IHuhSq3AJ5eI5OnqOPBNLWSHKh2a30DoXe8/edit?usp=sharing"",""สตูล!I360"")"),9865)</f>
        <v>9865</v>
      </c>
      <c r="J465" s="426">
        <f ca="1">IFERROR(__xludf.DUMMYFUNCTION("IMPORTRANGE(""https://docs.google.com/spreadsheets/d/1IYY_tgx_IHuhSq3AJ5eI5OnqOPBNLWSHKh2a30DoXe8/edit?usp=sharing"",""สตูล!J360"")"),9865)</f>
        <v>9865</v>
      </c>
      <c r="K465" s="208">
        <f t="shared" ca="1" si="117"/>
        <v>100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IFERROR(__xludf.DUMMYFUNCTION("IMPORTRANGE(""https://docs.google.com/spreadsheets/d/1IYY_tgx_IHuhSq3AJ5eI5OnqOPBNLWSHKh2a30DoXe8/edit?usp=sharing"",""สตูล!I361"")"),1411)</f>
        <v>1411</v>
      </c>
      <c r="J466" s="426">
        <f ca="1">IFERROR(__xludf.DUMMYFUNCTION("IMPORTRANGE(""https://docs.google.com/spreadsheets/d/1IYY_tgx_IHuhSq3AJ5eI5OnqOPBNLWSHKh2a30DoXe8/edit?usp=sharing"",""สตูล!J361"")"),1411)</f>
        <v>1411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IFERROR(__xludf.DUMMYFUNCTION("IMPORTRANGE(""https://docs.google.com/spreadsheets/d/1IYY_tgx_IHuhSq3AJ5eI5OnqOPBNLWSHKh2a30DoXe8/edit?usp=sharing"",""สตูล!I362"")"),0)</f>
        <v>0</v>
      </c>
      <c r="J467" s="195">
        <f ca="1">IFERROR(__xludf.DUMMYFUNCTION("IMPORTRANGE(""https://docs.google.com/spreadsheets/d/1IYY_tgx_IHuhSq3AJ5eI5OnqOPBNLWSHKh2a30DoXe8/edit?usp=sharing"",""สตูล!J362"")"),9292)</f>
        <v>9292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IFERROR(__xludf.DUMMYFUNCTION("IMPORTRANGE(""https://docs.google.com/spreadsheets/d/1IYY_tgx_IHuhSq3AJ5eI5OnqOPBNLWSHKh2a30DoXe8/edit?usp=sharing"",""สตูล!I363"")"),0)</f>
        <v>0</v>
      </c>
      <c r="J468" s="195">
        <f ca="1">IFERROR(__xludf.DUMMYFUNCTION("IMPORTRANGE(""https://docs.google.com/spreadsheets/d/1IYY_tgx_IHuhSq3AJ5eI5OnqOPBNLWSHKh2a30DoXe8/edit?usp=sharing"",""สตูล!J363"")"),1337)</f>
        <v>1337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IFERROR(__xludf.DUMMYFUNCTION("IMPORTRANGE(""https://docs.google.com/spreadsheets/d/1IYY_tgx_IHuhSq3AJ5eI5OnqOPBNLWSHKh2a30DoXe8/edit?usp=sharing"",""สตูล!I364"")"),0)</f>
        <v>0</v>
      </c>
      <c r="J469" s="195">
        <f ca="1">IFERROR(__xludf.DUMMYFUNCTION("IMPORTRANGE(""https://docs.google.com/spreadsheets/d/1IYY_tgx_IHuhSq3AJ5eI5OnqOPBNLWSHKh2a30DoXe8/edit?usp=sharing"",""สตูล!J364"")"),477)</f>
        <v>477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IFERROR(__xludf.DUMMYFUNCTION("IMPORTRANGE(""https://docs.google.com/spreadsheets/d/1IYY_tgx_IHuhSq3AJ5eI5OnqOPBNLWSHKh2a30DoXe8/edit?usp=sharing"",""สตูล!I365"")"),0)</f>
        <v>0</v>
      </c>
      <c r="J470" s="195">
        <f ca="1">IFERROR(__xludf.DUMMYFUNCTION("IMPORTRANGE(""https://docs.google.com/spreadsheets/d/1IYY_tgx_IHuhSq3AJ5eI5OnqOPBNLWSHKh2a30DoXe8/edit?usp=sharing"",""สตูล!J365"")"),57)</f>
        <v>57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IFERROR(__xludf.DUMMYFUNCTION("IMPORTRANGE(""https://docs.google.com/spreadsheets/d/1IYY_tgx_IHuhSq3AJ5eI5OnqOPBNLWSHKh2a30DoXe8/edit?usp=sharing"",""สตูล!I366"")"),0)</f>
        <v>0</v>
      </c>
      <c r="J471" s="195">
        <f ca="1">IFERROR(__xludf.DUMMYFUNCTION("IMPORTRANGE(""https://docs.google.com/spreadsheets/d/1IYY_tgx_IHuhSq3AJ5eI5OnqOPBNLWSHKh2a30DoXe8/edit?usp=sharing"",""สตูล!J366"")"),96)</f>
        <v>96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IFERROR(__xludf.DUMMYFUNCTION("IMPORTRANGE(""https://docs.google.com/spreadsheets/d/1IYY_tgx_IHuhSq3AJ5eI5OnqOPBNLWSHKh2a30DoXe8/edit?usp=sharing"",""สตูล!I367"")"),0)</f>
        <v>0</v>
      </c>
      <c r="J472" s="195">
        <f ca="1">IFERROR(__xludf.DUMMYFUNCTION("IMPORTRANGE(""https://docs.google.com/spreadsheets/d/1IYY_tgx_IHuhSq3AJ5eI5OnqOPBNLWSHKh2a30DoXe8/edit?usp=sharing"",""สตูล!J367"")"),17)</f>
        <v>17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IFERROR(__xludf.DUMMYFUNCTION("IMPORTRANGE(""https://docs.google.com/spreadsheets/d/1IYY_tgx_IHuhSq3AJ5eI5OnqOPBNLWSHKh2a30DoXe8/edit?usp=sharing"",""สตูล!I368"")"),9865)</f>
        <v>9865</v>
      </c>
      <c r="J473" s="426">
        <f ca="1">IFERROR(__xludf.DUMMYFUNCTION("IMPORTRANGE(""https://docs.google.com/spreadsheets/d/1IYY_tgx_IHuhSq3AJ5eI5OnqOPBNLWSHKh2a30DoXe8/edit?usp=sharing"",""สตูล!J368"")"),9867)</f>
        <v>9867</v>
      </c>
      <c r="K473" s="208">
        <f t="shared" ca="1" si="117"/>
        <v>100.0202736948809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IFERROR(__xludf.DUMMYFUNCTION("IMPORTRANGE(""https://docs.google.com/spreadsheets/d/1IYY_tgx_IHuhSq3AJ5eI5OnqOPBNLWSHKh2a30DoXe8/edit?usp=sharing"",""สตูล!I369"")"),1411)</f>
        <v>1411</v>
      </c>
      <c r="J474" s="426">
        <f ca="1">IFERROR(__xludf.DUMMYFUNCTION("IMPORTRANGE(""https://docs.google.com/spreadsheets/d/1IYY_tgx_IHuhSq3AJ5eI5OnqOPBNLWSHKh2a30DoXe8/edit?usp=sharing"",""สตูล!J369"")"),1411)</f>
        <v>1411</v>
      </c>
      <c r="K474" s="208">
        <f t="shared" ca="1" si="117"/>
        <v>100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IFERROR(__xludf.DUMMYFUNCTION("IMPORTRANGE(""https://docs.google.com/spreadsheets/d/1IYY_tgx_IHuhSq3AJ5eI5OnqOPBNLWSHKh2a30DoXe8/edit?usp=sharing"",""สตูล!I370"")"),0)</f>
        <v>0</v>
      </c>
      <c r="J475" s="195">
        <f ca="1">IFERROR(__xludf.DUMMYFUNCTION("IMPORTRANGE(""https://docs.google.com/spreadsheets/d/1IYY_tgx_IHuhSq3AJ5eI5OnqOPBNLWSHKh2a30DoXe8/edit?usp=sharing"",""สตูล!J370"")"),9340)</f>
        <v>9340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IFERROR(__xludf.DUMMYFUNCTION("IMPORTRANGE(""https://docs.google.com/spreadsheets/d/1IYY_tgx_IHuhSq3AJ5eI5OnqOPBNLWSHKh2a30DoXe8/edit?usp=sharing"",""สตูล!I371"")"),0)</f>
        <v>0</v>
      </c>
      <c r="J476" s="195">
        <f ca="1">IFERROR(__xludf.DUMMYFUNCTION("IMPORTRANGE(""https://docs.google.com/spreadsheets/d/1IYY_tgx_IHuhSq3AJ5eI5OnqOPBNLWSHKh2a30DoXe8/edit?usp=sharing"",""สตูล!J371"")"),1348)</f>
        <v>1348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IFERROR(__xludf.DUMMYFUNCTION("IMPORTRANGE(""https://docs.google.com/spreadsheets/d/1IYY_tgx_IHuhSq3AJ5eI5OnqOPBNLWSHKh2a30DoXe8/edit?usp=sharing"",""สตูล!I372"")"),0)</f>
        <v>0</v>
      </c>
      <c r="J477" s="195">
        <f ca="1">IFERROR(__xludf.DUMMYFUNCTION("IMPORTRANGE(""https://docs.google.com/spreadsheets/d/1IYY_tgx_IHuhSq3AJ5eI5OnqOPBNLWSHKh2a30DoXe8/edit?usp=sharing"",""สตูล!J372"")"),403)</f>
        <v>403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IFERROR(__xludf.DUMMYFUNCTION("IMPORTRANGE(""https://docs.google.com/spreadsheets/d/1IYY_tgx_IHuhSq3AJ5eI5OnqOPBNLWSHKh2a30DoXe8/edit?usp=sharing"",""สตูล!I373"")"),0)</f>
        <v>0</v>
      </c>
      <c r="J478" s="195">
        <f ca="1">IFERROR(__xludf.DUMMYFUNCTION("IMPORTRANGE(""https://docs.google.com/spreadsheets/d/1IYY_tgx_IHuhSq3AJ5eI5OnqOPBNLWSHKh2a30DoXe8/edit?usp=sharing"",""สตูล!J373"")"),43)</f>
        <v>43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IFERROR(__xludf.DUMMYFUNCTION("IMPORTRANGE(""https://docs.google.com/spreadsheets/d/1IYY_tgx_IHuhSq3AJ5eI5OnqOPBNLWSHKh2a30DoXe8/edit?usp=sharing"",""สตูล!I374"")"),0)</f>
        <v>0</v>
      </c>
      <c r="J479" s="195">
        <f ca="1">IFERROR(__xludf.DUMMYFUNCTION("IMPORTRANGE(""https://docs.google.com/spreadsheets/d/1IYY_tgx_IHuhSq3AJ5eI5OnqOPBNLWSHKh2a30DoXe8/edit?usp=sharing"",""สตูล!J374"")"),124)</f>
        <v>124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IFERROR(__xludf.DUMMYFUNCTION("IMPORTRANGE(""https://docs.google.com/spreadsheets/d/1IYY_tgx_IHuhSq3AJ5eI5OnqOPBNLWSHKh2a30DoXe8/edit?usp=sharing"",""สตูล!I375"")"),0)</f>
        <v>0</v>
      </c>
      <c r="J480" s="195">
        <f ca="1">IFERROR(__xludf.DUMMYFUNCTION("IMPORTRANGE(""https://docs.google.com/spreadsheets/d/1IYY_tgx_IHuhSq3AJ5eI5OnqOPBNLWSHKh2a30DoXe8/edit?usp=sharing"",""สตูล!J375"")"),20)</f>
        <v>20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IFERROR(__xludf.DUMMYFUNCTION("IMPORTRANGE(""https://docs.google.com/spreadsheets/d/1IYY_tgx_IHuhSq3AJ5eI5OnqOPBNLWSHKh2a30DoXe8/edit?usp=sharing"",""สตูล!I376"")"),9865)</f>
        <v>9865</v>
      </c>
      <c r="J481" s="426">
        <f ca="1">IFERROR(__xludf.DUMMYFUNCTION("IMPORTRANGE(""https://docs.google.com/spreadsheets/d/1IYY_tgx_IHuhSq3AJ5eI5OnqOPBNLWSHKh2a30DoXe8/edit?usp=sharing"",""สตูล!J376"")"),9867)</f>
        <v>9867</v>
      </c>
      <c r="K481" s="208">
        <f t="shared" ca="1" si="117"/>
        <v>100.0202736948809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IFERROR(__xludf.DUMMYFUNCTION("IMPORTRANGE(""https://docs.google.com/spreadsheets/d/1IYY_tgx_IHuhSq3AJ5eI5OnqOPBNLWSHKh2a30DoXe8/edit?usp=sharing"",""สตูล!I377"")"),1411)</f>
        <v>1411</v>
      </c>
      <c r="J482" s="426">
        <f ca="1">IFERROR(__xludf.DUMMYFUNCTION("IMPORTRANGE(""https://docs.google.com/spreadsheets/d/1IYY_tgx_IHuhSq3AJ5eI5OnqOPBNLWSHKh2a30DoXe8/edit?usp=sharing"",""สตูล!J377"")"),1411)</f>
        <v>1411</v>
      </c>
      <c r="K482" s="208">
        <f t="shared" ca="1" si="117"/>
        <v>100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IFERROR(__xludf.DUMMYFUNCTION("IMPORTRANGE(""https://docs.google.com/spreadsheets/d/1IYY_tgx_IHuhSq3AJ5eI5OnqOPBNLWSHKh2a30DoXe8/edit?usp=sharing"",""สตูล!I378"")"),0)</f>
        <v>0</v>
      </c>
      <c r="J483" s="195">
        <f ca="1">IFERROR(__xludf.DUMMYFUNCTION("IMPORTRANGE(""https://docs.google.com/spreadsheets/d/1IYY_tgx_IHuhSq3AJ5eI5OnqOPBNLWSHKh2a30DoXe8/edit?usp=sharing"",""สตูล!J378"")"),9340)</f>
        <v>9340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IFERROR(__xludf.DUMMYFUNCTION("IMPORTRANGE(""https://docs.google.com/spreadsheets/d/1IYY_tgx_IHuhSq3AJ5eI5OnqOPBNLWSHKh2a30DoXe8/edit?usp=sharing"",""สตูล!I379"")"),0)</f>
        <v>0</v>
      </c>
      <c r="J484" s="195">
        <f ca="1">IFERROR(__xludf.DUMMYFUNCTION("IMPORTRANGE(""https://docs.google.com/spreadsheets/d/1IYY_tgx_IHuhSq3AJ5eI5OnqOPBNLWSHKh2a30DoXe8/edit?usp=sharing"",""สตูล!J379"")"),1348)</f>
        <v>1348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IFERROR(__xludf.DUMMYFUNCTION("IMPORTRANGE(""https://docs.google.com/spreadsheets/d/1IYY_tgx_IHuhSq3AJ5eI5OnqOPBNLWSHKh2a30DoXe8/edit?usp=sharing"",""สตูล!I380"")"),0)</f>
        <v>0</v>
      </c>
      <c r="J485" s="195">
        <f ca="1">IFERROR(__xludf.DUMMYFUNCTION("IMPORTRANGE(""https://docs.google.com/spreadsheets/d/1IYY_tgx_IHuhSq3AJ5eI5OnqOPBNLWSHKh2a30DoXe8/edit?usp=sharing"",""สตูล!J380"")"),403)</f>
        <v>403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IFERROR(__xludf.DUMMYFUNCTION("IMPORTRANGE(""https://docs.google.com/spreadsheets/d/1IYY_tgx_IHuhSq3AJ5eI5OnqOPBNLWSHKh2a30DoXe8/edit?usp=sharing"",""สตูล!I381"")"),0)</f>
        <v>0</v>
      </c>
      <c r="J486" s="195">
        <f ca="1">IFERROR(__xludf.DUMMYFUNCTION("IMPORTRANGE(""https://docs.google.com/spreadsheets/d/1IYY_tgx_IHuhSq3AJ5eI5OnqOPBNLWSHKh2a30DoXe8/edit?usp=sharing"",""สตูล!J381"")"),43)</f>
        <v>43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IFERROR(__xludf.DUMMYFUNCTION("IMPORTRANGE(""https://docs.google.com/spreadsheets/d/1IYY_tgx_IHuhSq3AJ5eI5OnqOPBNLWSHKh2a30DoXe8/edit?usp=sharing"",""สตูล!I382"")"),0)</f>
        <v>0</v>
      </c>
      <c r="J487" s="426">
        <f ca="1">IFERROR(__xludf.DUMMYFUNCTION("IMPORTRANGE(""https://docs.google.com/spreadsheets/d/1IYY_tgx_IHuhSq3AJ5eI5OnqOPBNLWSHKh2a30DoXe8/edit?usp=sharing"",""สตูล!J382"")"),124)</f>
        <v>124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IFERROR(__xludf.DUMMYFUNCTION("IMPORTRANGE(""https://docs.google.com/spreadsheets/d/1IYY_tgx_IHuhSq3AJ5eI5OnqOPBNLWSHKh2a30DoXe8/edit?usp=sharing"",""สตูล!I383"")"),0)</f>
        <v>0</v>
      </c>
      <c r="J488" s="426">
        <f ca="1">IFERROR(__xludf.DUMMYFUNCTION("IMPORTRANGE(""https://docs.google.com/spreadsheets/d/1IYY_tgx_IHuhSq3AJ5eI5OnqOPBNLWSHKh2a30DoXe8/edit?usp=sharing"",""สตูล!J383"")"),20)</f>
        <v>20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IFERROR(__xludf.DUMMYFUNCTION("IMPORTRANGE(""https://docs.google.com/spreadsheets/d/1IYY_tgx_IHuhSq3AJ5eI5OnqOPBNLWSHKh2a30DoXe8/edit?usp=sharing"",""สตูล!I384"")"),0)</f>
        <v>0</v>
      </c>
      <c r="J489" s="195">
        <f ca="1">IFERROR(__xludf.DUMMYFUNCTION("IMPORTRANGE(""https://docs.google.com/spreadsheets/d/1IYY_tgx_IHuhSq3AJ5eI5OnqOPBNLWSHKh2a30DoXe8/edit?usp=sharing"",""สตูล!J384"")"),116)</f>
        <v>116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IFERROR(__xludf.DUMMYFUNCTION("IMPORTRANGE(""https://docs.google.com/spreadsheets/d/1IYY_tgx_IHuhSq3AJ5eI5OnqOPBNLWSHKh2a30DoXe8/edit?usp=sharing"",""สตูล!I385"")"),0)</f>
        <v>0</v>
      </c>
      <c r="J490" s="195">
        <f ca="1">IFERROR(__xludf.DUMMYFUNCTION("IMPORTRANGE(""https://docs.google.com/spreadsheets/d/1IYY_tgx_IHuhSq3AJ5eI5OnqOPBNLWSHKh2a30DoXe8/edit?usp=sharing"",""สตูล!J385"")"),19)</f>
        <v>19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IFERROR(__xludf.DUMMYFUNCTION("IMPORTRANGE(""https://docs.google.com/spreadsheets/d/1IYY_tgx_IHuhSq3AJ5eI5OnqOPBNLWSHKh2a30DoXe8/edit?usp=sharing"",""สตูล!I386"")"),0)</f>
        <v>0</v>
      </c>
      <c r="J491" s="195">
        <f ca="1">IFERROR(__xludf.DUMMYFUNCTION("IMPORTRANGE(""https://docs.google.com/spreadsheets/d/1IYY_tgx_IHuhSq3AJ5eI5OnqOPBNLWSHKh2a30DoXe8/edit?usp=sharing"",""สตูล!J386"")"),8)</f>
        <v>8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IFERROR(__xludf.DUMMYFUNCTION("IMPORTRANGE(""https://docs.google.com/spreadsheets/d/1IYY_tgx_IHuhSq3AJ5eI5OnqOPBNLWSHKh2a30DoXe8/edit?usp=sharing"",""สตูล!I387"")"),0)</f>
        <v>0</v>
      </c>
      <c r="J492" s="195">
        <f ca="1">IFERROR(__xludf.DUMMYFUNCTION("IMPORTRANGE(""https://docs.google.com/spreadsheets/d/1IYY_tgx_IHuhSq3AJ5eI5OnqOPBNLWSHKh2a30DoXe8/edit?usp=sharing"",""สตูล!J387"")"),1)</f>
        <v>1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IFERROR(__xludf.DUMMYFUNCTION("IMPORTRANGE(""https://docs.google.com/spreadsheets/d/1IYY_tgx_IHuhSq3AJ5eI5OnqOPBNLWSHKh2a30DoXe8/edit?usp=sharing"",""สตูล!I388"")"),0)</f>
        <v>0</v>
      </c>
      <c r="J493" s="195">
        <f ca="1">IFERROR(__xludf.DUMMYFUNCTION("IMPORTRANGE(""https://docs.google.com/spreadsheets/d/1IYY_tgx_IHuhSq3AJ5eI5OnqOPBNLWSHKh2a30DoXe8/edit?usp=sharing"",""สตูล!J388"")"),0)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IFERROR(__xludf.DUMMYFUNCTION("IMPORTRANGE(""https://docs.google.com/spreadsheets/d/1IYY_tgx_IHuhSq3AJ5eI5OnqOPBNLWSHKh2a30DoXe8/edit?usp=sharing"",""สตูล!I389"")"),0)</f>
        <v>0</v>
      </c>
      <c r="J494" s="442">
        <f ca="1">IFERROR(__xludf.DUMMYFUNCTION("IMPORTRANGE(""https://docs.google.com/spreadsheets/d/1IYY_tgx_IHuhSq3AJ5eI5OnqOPBNLWSHKh2a30DoXe8/edit?usp=sharing"",""สตูล!J389"")"),0)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IFERROR(__xludf.DUMMYFUNCTION("IMPORTRANGE(""https://docs.google.com/spreadsheets/d/1IYY_tgx_IHuhSq3AJ5eI5OnqOPBNLWSHKh2a30DoXe8/edit?usp=sharing"",""สตูล!I390"")"),0)</f>
        <v>0</v>
      </c>
      <c r="J495" s="442">
        <f ca="1">IFERROR(__xludf.DUMMYFUNCTION("IMPORTRANGE(""https://docs.google.com/spreadsheets/d/1IYY_tgx_IHuhSq3AJ5eI5OnqOPBNLWSHKh2a30DoXe8/edit?usp=sharing"",""สตูล!J390"")"),0)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IFERROR(__xludf.DUMMYFUNCTION("IMPORTRANGE(""https://docs.google.com/spreadsheets/d/1IYY_tgx_IHuhSq3AJ5eI5OnqOPBNLWSHKh2a30DoXe8/edit?usp=sharing"",""สตูล!I391"")"),0)</f>
        <v>0</v>
      </c>
      <c r="J496" s="442">
        <f ca="1">IFERROR(__xludf.DUMMYFUNCTION("IMPORTRANGE(""https://docs.google.com/spreadsheets/d/1IYY_tgx_IHuhSq3AJ5eI5OnqOPBNLWSHKh2a30DoXe8/edit?usp=sharing"",""สตูล!J391"")"),0)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IFERROR(__xludf.DUMMYFUNCTION("IMPORTRANGE(""https://docs.google.com/spreadsheets/d/1IYY_tgx_IHuhSq3AJ5eI5OnqOPBNLWSHKh2a30DoXe8/edit?usp=sharing"",""สตูล!I392"")"),0)</f>
        <v>0</v>
      </c>
      <c r="J497" s="449">
        <f ca="1">IFERROR(__xludf.DUMMYFUNCTION("IMPORTRANGE(""https://docs.google.com/spreadsheets/d/1IYY_tgx_IHuhSq3AJ5eI5OnqOPBNLWSHKh2a30DoXe8/edit?usp=sharing"",""สตูล!J392"")"),0)</f>
        <v>0</v>
      </c>
      <c r="K497" s="450">
        <f t="shared" ca="1" si="117"/>
        <v>0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IFERROR(__xludf.DUMMYFUNCTION("IMPORTRANGE(""https://docs.google.com/spreadsheets/d/1IYY_tgx_IHuhSq3AJ5eI5OnqOPBNLWSHKh2a30DoXe8/edit?usp=sharing"",""สตูล!I393"")"),0)</f>
        <v>0</v>
      </c>
      <c r="J498" s="426">
        <f ca="1">IFERROR(__xludf.DUMMYFUNCTION("IMPORTRANGE(""https://docs.google.com/spreadsheets/d/1IYY_tgx_IHuhSq3AJ5eI5OnqOPBNLWSHKh2a30DoXe8/edit?usp=sharing"",""สตูล!J393"")"),0)</f>
        <v>0</v>
      </c>
      <c r="K498" s="167">
        <f t="shared" ca="1" si="117"/>
        <v>0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IFERROR(__xludf.DUMMYFUNCTION("IMPORTRANGE(""https://docs.google.com/spreadsheets/d/1IYY_tgx_IHuhSq3AJ5eI5OnqOPBNLWSHKh2a30DoXe8/edit?usp=sharing"",""สตูล!I394"")"),0)</f>
        <v>0</v>
      </c>
      <c r="J499" s="426">
        <f ca="1">IFERROR(__xludf.DUMMYFUNCTION("IMPORTRANGE(""https://docs.google.com/spreadsheets/d/1IYY_tgx_IHuhSq3AJ5eI5OnqOPBNLWSHKh2a30DoXe8/edit?usp=sharing"",""สตูล!J394"")"),0)</f>
        <v>0</v>
      </c>
      <c r="K499" s="208">
        <f t="shared" ca="1" si="117"/>
        <v>0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IFERROR(__xludf.DUMMYFUNCTION("IMPORTRANGE(""https://docs.google.com/spreadsheets/d/1IYY_tgx_IHuhSq3AJ5eI5OnqOPBNLWSHKh2a30DoXe8/edit?usp=sharing"",""สตูล!I395"")"),0)</f>
        <v>0</v>
      </c>
      <c r="J500" s="166">
        <f ca="1">IFERROR(__xludf.DUMMYFUNCTION("IMPORTRANGE(""https://docs.google.com/spreadsheets/d/1IYY_tgx_IHuhSq3AJ5eI5OnqOPBNLWSHKh2a30DoXe8/edit?usp=sharing"",""สตูล!J395"")"),0)</f>
        <v>0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IFERROR(__xludf.DUMMYFUNCTION("IMPORTRANGE(""https://docs.google.com/spreadsheets/d/1IYY_tgx_IHuhSq3AJ5eI5OnqOPBNLWSHKh2a30DoXe8/edit?usp=sharing"",""สตูล!I396"")"),0)</f>
        <v>0</v>
      </c>
      <c r="J501" s="166">
        <f ca="1">IFERROR(__xludf.DUMMYFUNCTION("IMPORTRANGE(""https://docs.google.com/spreadsheets/d/1IYY_tgx_IHuhSq3AJ5eI5OnqOPBNLWSHKh2a30DoXe8/edit?usp=sharing"",""สตูล!J396"")"),0)</f>
        <v>0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IFERROR(__xludf.DUMMYFUNCTION("IMPORTRANGE(""https://docs.google.com/spreadsheets/d/1IYY_tgx_IHuhSq3AJ5eI5OnqOPBNLWSHKh2a30DoXe8/edit?usp=sharing"",""สตูล!I397"")"),0)</f>
        <v>0</v>
      </c>
      <c r="J502" s="195">
        <f ca="1">IFERROR(__xludf.DUMMYFUNCTION("IMPORTRANGE(""https://docs.google.com/spreadsheets/d/1IYY_tgx_IHuhSq3AJ5eI5OnqOPBNLWSHKh2a30DoXe8/edit?usp=sharing"",""สตูล!J397"")"),0)</f>
        <v>0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IFERROR(__xludf.DUMMYFUNCTION("IMPORTRANGE(""https://docs.google.com/spreadsheets/d/1IYY_tgx_IHuhSq3AJ5eI5OnqOPBNLWSHKh2a30DoXe8/edit?usp=sharing"",""สตูล!I398"")"),0)</f>
        <v>0</v>
      </c>
      <c r="J503" s="204">
        <f ca="1">IFERROR(__xludf.DUMMYFUNCTION("IMPORTRANGE(""https://docs.google.com/spreadsheets/d/1IYY_tgx_IHuhSq3AJ5eI5OnqOPBNLWSHKh2a30DoXe8/edit?usp=sharing"",""สตูล!J398"")"),0)</f>
        <v>0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IFERROR(__xludf.DUMMYFUNCTION("IMPORTRANGE(""https://docs.google.com/spreadsheets/d/1IYY_tgx_IHuhSq3AJ5eI5OnqOPBNLWSHKh2a30DoXe8/edit?usp=sharing"",""สตูล!I399"")"),0)</f>
        <v>0</v>
      </c>
      <c r="J504" s="195">
        <f ca="1">IFERROR(__xludf.DUMMYFUNCTION("IMPORTRANGE(""https://docs.google.com/spreadsheets/d/1IYY_tgx_IHuhSq3AJ5eI5OnqOPBNLWSHKh2a30DoXe8/edit?usp=sharing"",""สตูล!J399"")"),0)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IFERROR(__xludf.DUMMYFUNCTION("IMPORTRANGE(""https://docs.google.com/spreadsheets/d/1IYY_tgx_IHuhSq3AJ5eI5OnqOPBNLWSHKh2a30DoXe8/edit?usp=sharing"",""สตูล!I400"")"),0)</f>
        <v>0</v>
      </c>
      <c r="J505" s="204">
        <f ca="1">IFERROR(__xludf.DUMMYFUNCTION("IMPORTRANGE(""https://docs.google.com/spreadsheets/d/1IYY_tgx_IHuhSq3AJ5eI5OnqOPBNLWSHKh2a30DoXe8/edit?usp=sharing"",""สตูล!J400"")"),0)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IFERROR(__xludf.DUMMYFUNCTION("IMPORTRANGE(""https://docs.google.com/spreadsheets/d/1IYY_tgx_IHuhSq3AJ5eI5OnqOPBNLWSHKh2a30DoXe8/edit?usp=sharing"",""สตูล!I401"")"),0)</f>
        <v>0</v>
      </c>
      <c r="J506" s="195">
        <f ca="1">IFERROR(__xludf.DUMMYFUNCTION("IMPORTRANGE(""https://docs.google.com/spreadsheets/d/1IYY_tgx_IHuhSq3AJ5eI5OnqOPBNLWSHKh2a30DoXe8/edit?usp=sharing"",""สตูล!J401"")"),0)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IFERROR(__xludf.DUMMYFUNCTION("IMPORTRANGE(""https://docs.google.com/spreadsheets/d/1IYY_tgx_IHuhSq3AJ5eI5OnqOPBNLWSHKh2a30DoXe8/edit?usp=sharing"",""สตูล!I402"")"),0)</f>
        <v>0</v>
      </c>
      <c r="J507" s="204">
        <f ca="1">IFERROR(__xludf.DUMMYFUNCTION("IMPORTRANGE(""https://docs.google.com/spreadsheets/d/1IYY_tgx_IHuhSq3AJ5eI5OnqOPBNLWSHKh2a30DoXe8/edit?usp=sharing"",""สตูล!J402"")"),0)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IFERROR(__xludf.DUMMYFUNCTION("IMPORTRANGE(""https://docs.google.com/spreadsheets/d/1IYY_tgx_IHuhSq3AJ5eI5OnqOPBNLWSHKh2a30DoXe8/edit?usp=sharing"",""สตูล!I403"")"),0)</f>
        <v>0</v>
      </c>
      <c r="J508" s="166">
        <f ca="1">IFERROR(__xludf.DUMMYFUNCTION("IMPORTRANGE(""https://docs.google.com/spreadsheets/d/1IYY_tgx_IHuhSq3AJ5eI5OnqOPBNLWSHKh2a30DoXe8/edit?usp=sharing"",""สตูล!J403"")"),0)</f>
        <v>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IFERROR(__xludf.DUMMYFUNCTION("IMPORTRANGE(""https://docs.google.com/spreadsheets/d/1IYY_tgx_IHuhSq3AJ5eI5OnqOPBNLWSHKh2a30DoXe8/edit?usp=sharing"",""สตูล!I404"")"),0)</f>
        <v>0</v>
      </c>
      <c r="J509" s="166">
        <f ca="1">IFERROR(__xludf.DUMMYFUNCTION("IMPORTRANGE(""https://docs.google.com/spreadsheets/d/1IYY_tgx_IHuhSq3AJ5eI5OnqOPBNLWSHKh2a30DoXe8/edit?usp=sharing"",""สตูล!J404"")"),0)</f>
        <v>0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IFERROR(__xludf.DUMMYFUNCTION("IMPORTRANGE(""https://docs.google.com/spreadsheets/d/1IYY_tgx_IHuhSq3AJ5eI5OnqOPBNLWSHKh2a30DoXe8/edit?usp=sharing"",""สตูล!I405"")"),0)</f>
        <v>0</v>
      </c>
      <c r="J510" s="204">
        <f ca="1">IFERROR(__xludf.DUMMYFUNCTION("IMPORTRANGE(""https://docs.google.com/spreadsheets/d/1IYY_tgx_IHuhSq3AJ5eI5OnqOPBNLWSHKh2a30DoXe8/edit?usp=sharing"",""สตูล!J405"")"),0)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IFERROR(__xludf.DUMMYFUNCTION("IMPORTRANGE(""https://docs.google.com/spreadsheets/d/1IYY_tgx_IHuhSq3AJ5eI5OnqOPBNLWSHKh2a30DoXe8/edit?usp=sharing"",""สตูล!I406"")"),0)</f>
        <v>0</v>
      </c>
      <c r="J511" s="204">
        <f ca="1">IFERROR(__xludf.DUMMYFUNCTION("IMPORTRANGE(""https://docs.google.com/spreadsheets/d/1IYY_tgx_IHuhSq3AJ5eI5OnqOPBNLWSHKh2a30DoXe8/edit?usp=sharing"",""สตูล!J406"")"),0)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IFERROR(__xludf.DUMMYFUNCTION("IMPORTRANGE(""https://docs.google.com/spreadsheets/d/1IYY_tgx_IHuhSq3AJ5eI5OnqOPBNLWSHKh2a30DoXe8/edit?usp=sharing"",""สตูล!I407"")"),0)</f>
        <v>0</v>
      </c>
      <c r="J512" s="204">
        <f ca="1">IFERROR(__xludf.DUMMYFUNCTION("IMPORTRANGE(""https://docs.google.com/spreadsheets/d/1IYY_tgx_IHuhSq3AJ5eI5OnqOPBNLWSHKh2a30DoXe8/edit?usp=sharing"",""สตูล!J407"")"),0)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IFERROR(__xludf.DUMMYFUNCTION("IMPORTRANGE(""https://docs.google.com/spreadsheets/d/1IYY_tgx_IHuhSq3AJ5eI5OnqOPBNLWSHKh2a30DoXe8/edit?usp=sharing"",""สตูล!I408"")"),0)</f>
        <v>0</v>
      </c>
      <c r="J513" s="204">
        <f ca="1">IFERROR(__xludf.DUMMYFUNCTION("IMPORTRANGE(""https://docs.google.com/spreadsheets/d/1IYY_tgx_IHuhSq3AJ5eI5OnqOPBNLWSHKh2a30DoXe8/edit?usp=sharing"",""สตูล!J408"")"),0)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IFERROR(__xludf.DUMMYFUNCTION("IMPORTRANGE(""https://docs.google.com/spreadsheets/d/1IYY_tgx_IHuhSq3AJ5eI5OnqOPBNLWSHKh2a30DoXe8/edit?usp=sharing"",""สตูล!I409"")"),0)</f>
        <v>0</v>
      </c>
      <c r="J514" s="204">
        <f ca="1">IFERROR(__xludf.DUMMYFUNCTION("IMPORTRANGE(""https://docs.google.com/spreadsheets/d/1IYY_tgx_IHuhSq3AJ5eI5OnqOPBNLWSHKh2a30DoXe8/edit?usp=sharing"",""สตูล!J409"")"),0)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IFERROR(__xludf.DUMMYFUNCTION("IMPORTRANGE(""https://docs.google.com/spreadsheets/d/1IYY_tgx_IHuhSq3AJ5eI5OnqOPBNLWSHKh2a30DoXe8/edit?usp=sharing"",""สตูล!I410"")"),0)</f>
        <v>0</v>
      </c>
      <c r="J515" s="204">
        <f ca="1">IFERROR(__xludf.DUMMYFUNCTION("IMPORTRANGE(""https://docs.google.com/spreadsheets/d/1IYY_tgx_IHuhSq3AJ5eI5OnqOPBNLWSHKh2a30DoXe8/edit?usp=sharing"",""สตูล!J410"")"),0)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IFERROR(__xludf.DUMMYFUNCTION("IMPORTRANGE(""https://docs.google.com/spreadsheets/d/1IYY_tgx_IHuhSq3AJ5eI5OnqOPBNLWSHKh2a30DoXe8/edit?usp=sharing"",""สตูล!I411"")"),0)</f>
        <v>0</v>
      </c>
      <c r="J516" s="273">
        <f ca="1">IFERROR(__xludf.DUMMYFUNCTION("IMPORTRANGE(""https://docs.google.com/spreadsheets/d/1IYY_tgx_IHuhSq3AJ5eI5OnqOPBNLWSHKh2a30DoXe8/edit?usp=sharing"",""สตูล!J411"")"),0)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IFERROR(__xludf.DUMMYFUNCTION("IMPORTRANGE(""https://docs.google.com/spreadsheets/d/1IYY_tgx_IHuhSq3AJ5eI5OnqOPBNLWSHKh2a30DoXe8/edit?usp=sharing"",""สตูล!I412"")"),0)</f>
        <v>0</v>
      </c>
      <c r="J517" s="290">
        <f ca="1">IFERROR(__xludf.DUMMYFUNCTION("IMPORTRANGE(""https://docs.google.com/spreadsheets/d/1IYY_tgx_IHuhSq3AJ5eI5OnqOPBNLWSHKh2a30DoXe8/edit?usp=sharing"",""สตูล!J412"")"),0)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IFERROR(__xludf.DUMMYFUNCTION("IMPORTRANGE(""https://docs.google.com/spreadsheets/d/1IYY_tgx_IHuhSq3AJ5eI5OnqOPBNLWSHKh2a30DoXe8/edit?usp=sharing"",""สตูล!I413"")"),0)</f>
        <v>0</v>
      </c>
      <c r="J518" s="290">
        <f ca="1">IFERROR(__xludf.DUMMYFUNCTION("IMPORTRANGE(""https://docs.google.com/spreadsheets/d/1IYY_tgx_IHuhSq3AJ5eI5OnqOPBNLWSHKh2a30DoXe8/edit?usp=sharing"",""สตูล!J413"")"),0)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IFERROR(__xludf.DUMMYFUNCTION("IMPORTRANGE(""https://docs.google.com/spreadsheets/d/1IYY_tgx_IHuhSq3AJ5eI5OnqOPBNLWSHKh2a30DoXe8/edit?usp=sharing"",""สตูล!I414"")"),0)</f>
        <v>0</v>
      </c>
      <c r="J519" s="194">
        <f ca="1">IFERROR(__xludf.DUMMYFUNCTION("IMPORTRANGE(""https://docs.google.com/spreadsheets/d/1IYY_tgx_IHuhSq3AJ5eI5OnqOPBNLWSHKh2a30DoXe8/edit?usp=sharing"",""สตูล!J414"")"),0)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IFERROR(__xludf.DUMMYFUNCTION("IMPORTRANGE(""https://docs.google.com/spreadsheets/d/1IYY_tgx_IHuhSq3AJ5eI5OnqOPBNLWSHKh2a30DoXe8/edit?usp=sharing"",""สตูล!I415"")"),0)</f>
        <v>0</v>
      </c>
      <c r="J520" s="194">
        <f ca="1">IFERROR(__xludf.DUMMYFUNCTION("IMPORTRANGE(""https://docs.google.com/spreadsheets/d/1IYY_tgx_IHuhSq3AJ5eI5OnqOPBNLWSHKh2a30DoXe8/edit?usp=sharing"",""สตูล!J415"")"),0)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IFERROR(__xludf.DUMMYFUNCTION("IMPORTRANGE(""https://docs.google.com/spreadsheets/d/1IYY_tgx_IHuhSq3AJ5eI5OnqOPBNLWSHKh2a30DoXe8/edit?usp=sharing"",""สตูล!I416"")"),0)</f>
        <v>0</v>
      </c>
      <c r="J521" s="194">
        <f ca="1">IFERROR(__xludf.DUMMYFUNCTION("IMPORTRANGE(""https://docs.google.com/spreadsheets/d/1IYY_tgx_IHuhSq3AJ5eI5OnqOPBNLWSHKh2a30DoXe8/edit?usp=sharing"",""สตูล!J416"")"),0)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IFERROR(__xludf.DUMMYFUNCTION("IMPORTRANGE(""https://docs.google.com/spreadsheets/d/1IYY_tgx_IHuhSq3AJ5eI5OnqOPBNLWSHKh2a30DoXe8/edit?usp=sharing"",""สตูล!I417"")"),0)</f>
        <v>0</v>
      </c>
      <c r="J522" s="194">
        <f ca="1">IFERROR(__xludf.DUMMYFUNCTION("IMPORTRANGE(""https://docs.google.com/spreadsheets/d/1IYY_tgx_IHuhSq3AJ5eI5OnqOPBNLWSHKh2a30DoXe8/edit?usp=sharing"",""สตูล!J417"")"),0)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IFERROR(__xludf.DUMMYFUNCTION("IMPORTRANGE(""https://docs.google.com/spreadsheets/d/1IYY_tgx_IHuhSq3AJ5eI5OnqOPBNLWSHKh2a30DoXe8/edit?usp=sharing"",""สตูล!I418"")"),0)</f>
        <v>0</v>
      </c>
      <c r="J523" s="194">
        <f ca="1">IFERROR(__xludf.DUMMYFUNCTION("IMPORTRANGE(""https://docs.google.com/spreadsheets/d/1IYY_tgx_IHuhSq3AJ5eI5OnqOPBNLWSHKh2a30DoXe8/edit?usp=sharing"",""สตูล!J418"")"),2)</f>
        <v>2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IFERROR(__xludf.DUMMYFUNCTION("IMPORTRANGE(""https://docs.google.com/spreadsheets/d/1IYY_tgx_IHuhSq3AJ5eI5OnqOPBNLWSHKh2a30DoXe8/edit?usp=sharing"",""สตูล!I419"")"),0)</f>
        <v>0</v>
      </c>
      <c r="J524" s="194">
        <f ca="1">IFERROR(__xludf.DUMMYFUNCTION("IMPORTRANGE(""https://docs.google.com/spreadsheets/d/1IYY_tgx_IHuhSq3AJ5eI5OnqOPBNLWSHKh2a30DoXe8/edit?usp=sharing"",""สตูล!J419"")"),1)</f>
        <v>1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IFERROR(__xludf.DUMMYFUNCTION("IMPORTRANGE(""https://docs.google.com/spreadsheets/d/1IYY_tgx_IHuhSq3AJ5eI5OnqOPBNLWSHKh2a30DoXe8/edit?usp=sharing"",""สตูล!I420"")"),2)</f>
        <v>2</v>
      </c>
      <c r="J525" s="290">
        <f ca="1">IFERROR(__xludf.DUMMYFUNCTION("IMPORTRANGE(""https://docs.google.com/spreadsheets/d/1IYY_tgx_IHuhSq3AJ5eI5OnqOPBNLWSHKh2a30DoXe8/edit?usp=sharing"",""สตูล!J420"")"),0)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IFERROR(__xludf.DUMMYFUNCTION("IMPORTRANGE(""https://docs.google.com/spreadsheets/d/1IYY_tgx_IHuhSq3AJ5eI5OnqOPBNLWSHKh2a30DoXe8/edit?usp=sharing"",""สตูล!I421"")"),1)</f>
        <v>1</v>
      </c>
      <c r="J526" s="290">
        <f ca="1">IFERROR(__xludf.DUMMYFUNCTION("IMPORTRANGE(""https://docs.google.com/spreadsheets/d/1IYY_tgx_IHuhSq3AJ5eI5OnqOPBNLWSHKh2a30DoXe8/edit?usp=sharing"",""สตูล!J421"")"),0)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IFERROR(__xludf.DUMMYFUNCTION("IMPORTRANGE(""https://docs.google.com/spreadsheets/d/1IYY_tgx_IHuhSq3AJ5eI5OnqOPBNLWSHKh2a30DoXe8/edit?usp=sharing"",""สตูล!I422"")"),0)</f>
        <v>0</v>
      </c>
      <c r="J527" s="204">
        <f ca="1">IFERROR(__xludf.DUMMYFUNCTION("IMPORTRANGE(""https://docs.google.com/spreadsheets/d/1IYY_tgx_IHuhSq3AJ5eI5OnqOPBNLWSHKh2a30DoXe8/edit?usp=sharing"",""สตูล!J422"")"),0)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IFERROR(__xludf.DUMMYFUNCTION("IMPORTRANGE(""https://docs.google.com/spreadsheets/d/1IYY_tgx_IHuhSq3AJ5eI5OnqOPBNLWSHKh2a30DoXe8/edit?usp=sharing"",""สตูล!I423"")"),0)</f>
        <v>0</v>
      </c>
      <c r="J528" s="204">
        <f ca="1">IFERROR(__xludf.DUMMYFUNCTION("IMPORTRANGE(""https://docs.google.com/spreadsheets/d/1IYY_tgx_IHuhSq3AJ5eI5OnqOPBNLWSHKh2a30DoXe8/edit?usp=sharing"",""สตูล!J423"")"),0)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IFERROR(__xludf.DUMMYFUNCTION("IMPORTRANGE(""https://docs.google.com/spreadsheets/d/1IYY_tgx_IHuhSq3AJ5eI5OnqOPBNLWSHKh2a30DoXe8/edit?usp=sharing"",""สตูล!I424"")"),0)</f>
        <v>0</v>
      </c>
      <c r="J529" s="204">
        <f ca="1">IFERROR(__xludf.DUMMYFUNCTION("IMPORTRANGE(""https://docs.google.com/spreadsheets/d/1IYY_tgx_IHuhSq3AJ5eI5OnqOPBNLWSHKh2a30DoXe8/edit?usp=sharing"",""สตูล!J424"")"),0)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IFERROR(__xludf.DUMMYFUNCTION("IMPORTRANGE(""https://docs.google.com/spreadsheets/d/1IYY_tgx_IHuhSq3AJ5eI5OnqOPBNLWSHKh2a30DoXe8/edit?usp=sharing"",""สตูล!I425"")"),0)</f>
        <v>0</v>
      </c>
      <c r="J530" s="204">
        <f ca="1">IFERROR(__xludf.DUMMYFUNCTION("IMPORTRANGE(""https://docs.google.com/spreadsheets/d/1IYY_tgx_IHuhSq3AJ5eI5OnqOPBNLWSHKh2a30DoXe8/edit?usp=sharing"",""สตูล!J425"")"),0)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IFERROR(__xludf.DUMMYFUNCTION("IMPORTRANGE(""https://docs.google.com/spreadsheets/d/1IYY_tgx_IHuhSq3AJ5eI5OnqOPBNLWSHKh2a30DoXe8/edit?usp=sharing"",""สตูล!I426"")"),0)</f>
        <v>0</v>
      </c>
      <c r="J531" s="204">
        <f ca="1">IFERROR(__xludf.DUMMYFUNCTION("IMPORTRANGE(""https://docs.google.com/spreadsheets/d/1IYY_tgx_IHuhSq3AJ5eI5OnqOPBNLWSHKh2a30DoXe8/edit?usp=sharing"",""สตูล!J426"")"),0)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IFERROR(__xludf.DUMMYFUNCTION("IMPORTRANGE(""https://docs.google.com/spreadsheets/d/1IYY_tgx_IHuhSq3AJ5eI5OnqOPBNLWSHKh2a30DoXe8/edit?usp=sharing"",""สตูล!I427"")"),0)</f>
        <v>0</v>
      </c>
      <c r="J532" s="472">
        <f ca="1">IFERROR(__xludf.DUMMYFUNCTION("IMPORTRANGE(""https://docs.google.com/spreadsheets/d/1IYY_tgx_IHuhSq3AJ5eI5OnqOPBNLWSHKh2a30DoXe8/edit?usp=sharing"",""สตูล!J427"")"),0)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IFERROR(__xludf.DUMMYFUNCTION("IMPORTRANGE(""https://docs.google.com/spreadsheets/d/1IYY_tgx_IHuhSq3AJ5eI5OnqOPBNLWSHKh2a30DoXe8/edit?usp=sharing"",""สตูล!I428"")"),20)</f>
        <v>20</v>
      </c>
      <c r="J533" s="416">
        <f ca="1">IFERROR(__xludf.DUMMYFUNCTION("IMPORTRANGE(""https://docs.google.com/spreadsheets/d/1IYY_tgx_IHuhSq3AJ5eI5OnqOPBNLWSHKh2a30DoXe8/edit?usp=sharing"",""สตูล!J428"")"),20)</f>
        <v>20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IFERROR(__xludf.DUMMYFUNCTION("IMPORTRANGE(""https://docs.google.com/spreadsheets/d/1IYY_tgx_IHuhSq3AJ5eI5OnqOPBNLWSHKh2a30DoXe8/edit?usp=sharing"",""สตูล!L428"")"),32640)</f>
        <v>32640</v>
      </c>
      <c r="M533" s="418"/>
      <c r="N533" s="418">
        <f ca="1">IFERROR(__xludf.DUMMYFUNCTION("IMPORTRANGE(""https://docs.google.com/spreadsheets/d/1IYY_tgx_IHuhSq3AJ5eI5OnqOPBNLWSHKh2a30DoXe8/edit?usp=sharing"",""สตูล!M428"")"),26360)</f>
        <v>26360</v>
      </c>
      <c r="O533" s="418">
        <f t="shared" ref="O533:O537" ca="1" si="118">+IF(L533&gt;0,N533*100/L533,0)</f>
        <v>80.759803921568633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IFERROR(__xludf.DUMMYFUNCTION("IMPORTRANGE(""https://docs.google.com/spreadsheets/d/1IYY_tgx_IHuhSq3AJ5eI5OnqOPBNLWSHKh2a30DoXe8/edit?usp=sharing"",""สตูล!L429"")"),0)</f>
        <v>0</v>
      </c>
      <c r="M534" s="168"/>
      <c r="N534" s="175">
        <f ca="1">IFERROR(__xludf.DUMMYFUNCTION("IMPORTRANGE(""https://docs.google.com/spreadsheets/d/1IYY_tgx_IHuhSq3AJ5eI5OnqOPBNLWSHKh2a30DoXe8/edit?usp=sharing"",""สตูล!M429"")"),0)</f>
        <v>0</v>
      </c>
      <c r="O534" s="175">
        <f t="shared" ca="1" si="118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IFERROR(__xludf.DUMMYFUNCTION("IMPORTRANGE(""https://docs.google.com/spreadsheets/d/1IYY_tgx_IHuhSq3AJ5eI5OnqOPBNLWSHKh2a30DoXe8/edit?usp=sharing"",""สตูล!L430"")"),32640)</f>
        <v>32640</v>
      </c>
      <c r="M535" s="169"/>
      <c r="N535" s="175">
        <f ca="1">IFERROR(__xludf.DUMMYFUNCTION("IMPORTRANGE(""https://docs.google.com/spreadsheets/d/1IYY_tgx_IHuhSq3AJ5eI5OnqOPBNLWSHKh2a30DoXe8/edit?usp=sharing"",""สตูล!M430"")"),26360)</f>
        <v>26360</v>
      </c>
      <c r="O535" s="175">
        <f t="shared" ca="1" si="118"/>
        <v>80.759803921568633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IFERROR(__xludf.DUMMYFUNCTION("IMPORTRANGE(""https://docs.google.com/spreadsheets/d/1IYY_tgx_IHuhSq3AJ5eI5OnqOPBNLWSHKh2a30DoXe8/edit?usp=sharing"",""สตูล!L431"")"),0)</f>
        <v>0</v>
      </c>
      <c r="M536" s="175"/>
      <c r="N536" s="175">
        <f ca="1">IFERROR(__xludf.DUMMYFUNCTION("IMPORTRANGE(""https://docs.google.com/spreadsheets/d/1IYY_tgx_IHuhSq3AJ5eI5OnqOPBNLWSHKh2a30DoXe8/edit?usp=sharing"",""สตูล!M431"")"),0)</f>
        <v>0</v>
      </c>
      <c r="O536" s="175">
        <f t="shared" ca="1" si="118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IFERROR(__xludf.DUMMYFUNCTION("IMPORTRANGE(""https://docs.google.com/spreadsheets/d/1IYY_tgx_IHuhSq3AJ5eI5OnqOPBNLWSHKh2a30DoXe8/edit?usp=sharing"",""สตูล!L432"")"),32640)</f>
        <v>32640</v>
      </c>
      <c r="M537" s="175"/>
      <c r="N537" s="175">
        <f ca="1">IFERROR(__xludf.DUMMYFUNCTION("IMPORTRANGE(""https://docs.google.com/spreadsheets/d/1IYY_tgx_IHuhSq3AJ5eI5OnqOPBNLWSHKh2a30DoXe8/edit?usp=sharing"",""สตูล!M432"")"),26360)</f>
        <v>26360</v>
      </c>
      <c r="O537" s="175">
        <f t="shared" ca="1" si="118"/>
        <v>80.759803921568633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IFERROR(__xludf.DUMMYFUNCTION("IMPORTRANGE(""https://docs.google.com/spreadsheets/d/1IYY_tgx_IHuhSq3AJ5eI5OnqOPBNLWSHKh2a30DoXe8/edit?usp=sharing"",""สตูล!M433"")"),17040)</f>
        <v>17040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IFERROR(__xludf.DUMMYFUNCTION("IMPORTRANGE(""https://docs.google.com/spreadsheets/d/1IYY_tgx_IHuhSq3AJ5eI5OnqOPBNLWSHKh2a30DoXe8/edit?usp=sharing"",""สตูล!M434"")"),0)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IFERROR(__xludf.DUMMYFUNCTION("IMPORTRANGE(""https://docs.google.com/spreadsheets/d/1IYY_tgx_IHuhSq3AJ5eI5OnqOPBNLWSHKh2a30DoXe8/edit?usp=sharing"",""สตูล!M435"")"),0)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IFERROR(__xludf.DUMMYFUNCTION("IMPORTRANGE(""https://docs.google.com/spreadsheets/d/1IYY_tgx_IHuhSq3AJ5eI5OnqOPBNLWSHKh2a30DoXe8/edit?usp=sharing"",""สตูล!M436"")"),9320)</f>
        <v>9320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IFERROR(__xludf.DUMMYFUNCTION("IMPORTRANGE(""https://docs.google.com/spreadsheets/d/1IYY_tgx_IHuhSq3AJ5eI5OnqOPBNLWSHKh2a30DoXe8/edit?usp=sharing"",""สตูล!J438"")"),0)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IFERROR(__xludf.DUMMYFUNCTION("IMPORTRANGE(""https://docs.google.com/spreadsheets/d/1IYY_tgx_IHuhSq3AJ5eI5OnqOPBNLWSHKh2a30DoXe8/edit?usp=sharing"",""สตูล!J439"")"),1)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IFERROR(__xludf.DUMMYFUNCTION("IMPORTRANGE(""https://docs.google.com/spreadsheets/d/1IYY_tgx_IHuhSq3AJ5eI5OnqOPBNLWSHKh2a30DoXe8/edit?usp=sharing"",""สตูล!J440"")"),1)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IFERROR(__xludf.DUMMYFUNCTION("IMPORTRANGE(""https://docs.google.com/spreadsheets/d/1IYY_tgx_IHuhSq3AJ5eI5OnqOPBNLWSHKh2a30DoXe8/edit?usp=sharing"",""สตูล!J441"")"),1)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IFERROR(__xludf.DUMMYFUNCTION("IMPORTRANGE(""https://docs.google.com/spreadsheets/d/1IYY_tgx_IHuhSq3AJ5eI5OnqOPBNLWSHKh2a30DoXe8/edit?usp=sharing"",""สตูล!I442"")"),20)</f>
        <v>20</v>
      </c>
      <c r="J547" s="195">
        <f ca="1">IFERROR(__xludf.DUMMYFUNCTION("IMPORTRANGE(""https://docs.google.com/spreadsheets/d/1IYY_tgx_IHuhSq3AJ5eI5OnqOPBNLWSHKh2a30DoXe8/edit?usp=sharing"",""สตูล!J442"")"),20)</f>
        <v>20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IFERROR(__xludf.DUMMYFUNCTION("IMPORTRANGE(""https://docs.google.com/spreadsheets/d/1IYY_tgx_IHuhSq3AJ5eI5OnqOPBNLWSHKh2a30DoXe8/edit?usp=sharing"",""สตูล!J166"")"),0)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IFERROR(__xludf.DUMMYFUNCTION("IMPORTRANGE(""https://docs.google.com/spreadsheets/d/1IYY_tgx_IHuhSq3AJ5eI5OnqOPBNLWSHKh2a30DoXe8/edit?usp=sharing"",""สตูล!J444"")"),0)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IFERROR(__xludf.DUMMYFUNCTION("IMPORTRANGE(""https://docs.google.com/spreadsheets/d/1IYY_tgx_IHuhSq3AJ5eI5OnqOPBNLWSHKh2a30DoXe8/edit?usp=sharing"",""สตูล!J445"")"),0)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IFERROR(__xludf.DUMMYFUNCTION("IMPORTRANGE(""https://docs.google.com/spreadsheets/d/1IYY_tgx_IHuhSq3AJ5eI5OnqOPBNLWSHKh2a30DoXe8/edit?usp=sharing"",""สตูล!I446"")"),0)</f>
        <v>0</v>
      </c>
      <c r="J551" s="416">
        <f ca="1">IFERROR(__xludf.DUMMYFUNCTION("IMPORTRANGE(""https://docs.google.com/spreadsheets/d/1IYY_tgx_IHuhSq3AJ5eI5OnqOPBNLWSHKh2a30DoXe8/edit?usp=sharing"",""สตูล!J446"")"),0)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IFERROR(__xludf.DUMMYFUNCTION("IMPORTRANGE(""https://docs.google.com/spreadsheets/d/1IYY_tgx_IHuhSq3AJ5eI5OnqOPBNLWSHKh2a30DoXe8/edit?usp=sharing"",""สตูล!L446"")"),0)</f>
        <v>0</v>
      </c>
      <c r="M551" s="418"/>
      <c r="N551" s="418">
        <f ca="1">IFERROR(__xludf.DUMMYFUNCTION("IMPORTRANGE(""https://docs.google.com/spreadsheets/d/1IYY_tgx_IHuhSq3AJ5eI5OnqOPBNLWSHKh2a30DoXe8/edit?usp=sharing"",""สตูล!M446"")"),0)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IFERROR(__xludf.DUMMYFUNCTION("IMPORTRANGE(""https://docs.google.com/spreadsheets/d/1IYY_tgx_IHuhSq3AJ5eI5OnqOPBNLWSHKh2a30DoXe8/edit?usp=sharing"",""สตูล!L447"")"),0)</f>
        <v>0</v>
      </c>
      <c r="M552" s="168"/>
      <c r="N552" s="175">
        <f ca="1">IFERROR(__xludf.DUMMYFUNCTION("IMPORTRANGE(""https://docs.google.com/spreadsheets/d/1IYY_tgx_IHuhSq3AJ5eI5OnqOPBNLWSHKh2a30DoXe8/edit?usp=sharing"",""สตูล!M447"")"),0)</f>
        <v>0</v>
      </c>
      <c r="O552" s="175">
        <f t="shared" ca="1" si="120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IFERROR(__xludf.DUMMYFUNCTION("IMPORTRANGE(""https://docs.google.com/spreadsheets/d/1IYY_tgx_IHuhSq3AJ5eI5OnqOPBNLWSHKh2a30DoXe8/edit?usp=sharing"",""สตูล!L448"")"),0)</f>
        <v>0</v>
      </c>
      <c r="M553" s="169"/>
      <c r="N553" s="175">
        <f ca="1">IFERROR(__xludf.DUMMYFUNCTION("IMPORTRANGE(""https://docs.google.com/spreadsheets/d/1IYY_tgx_IHuhSq3AJ5eI5OnqOPBNLWSHKh2a30DoXe8/edit?usp=sharing"",""สตูล!M448"")"),0)</f>
        <v>0</v>
      </c>
      <c r="O553" s="175">
        <f t="shared" ca="1" si="120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IFERROR(__xludf.DUMMYFUNCTION("IMPORTRANGE(""https://docs.google.com/spreadsheets/d/1IYY_tgx_IHuhSq3AJ5eI5OnqOPBNLWSHKh2a30DoXe8/edit?usp=sharing"",""สตูล!L449"")"),0)</f>
        <v>0</v>
      </c>
      <c r="M554" s="175"/>
      <c r="N554" s="175">
        <f ca="1">IFERROR(__xludf.DUMMYFUNCTION("IMPORTRANGE(""https://docs.google.com/spreadsheets/d/1IYY_tgx_IHuhSq3AJ5eI5OnqOPBNLWSHKh2a30DoXe8/edit?usp=sharing"",""สตูล!M449"")"),0)</f>
        <v>0</v>
      </c>
      <c r="O554" s="175">
        <f t="shared" ca="1" si="120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IFERROR(__xludf.DUMMYFUNCTION("IMPORTRANGE(""https://docs.google.com/spreadsheets/d/1IYY_tgx_IHuhSq3AJ5eI5OnqOPBNLWSHKh2a30DoXe8/edit?usp=sharing"",""สตูล!L450"")"),0)</f>
        <v>0</v>
      </c>
      <c r="M555" s="175"/>
      <c r="N555" s="175">
        <f ca="1">IFERROR(__xludf.DUMMYFUNCTION("IMPORTRANGE(""https://docs.google.com/spreadsheets/d/1IYY_tgx_IHuhSq3AJ5eI5OnqOPBNLWSHKh2a30DoXe8/edit?usp=sharing"",""สตูล!M450"")"),0)</f>
        <v>0</v>
      </c>
      <c r="O555" s="175">
        <f t="shared" ca="1" si="120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IFERROR(__xludf.DUMMYFUNCTION("IMPORTRANGE(""https://docs.google.com/spreadsheets/d/1IYY_tgx_IHuhSq3AJ5eI5OnqOPBNLWSHKh2a30DoXe8/edit?usp=sharing"",""สตูล!M451"")"),0)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IFERROR(__xludf.DUMMYFUNCTION("IMPORTRANGE(""https://docs.google.com/spreadsheets/d/1IYY_tgx_IHuhSq3AJ5eI5OnqOPBNLWSHKh2a30DoXe8/edit?usp=sharing"",""สตูล!M452"")"),0)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IFERROR(__xludf.DUMMYFUNCTION("IMPORTRANGE(""https://docs.google.com/spreadsheets/d/1IYY_tgx_IHuhSq3AJ5eI5OnqOPBNLWSHKh2a30DoXe8/edit?usp=sharing"",""สตูล!M453"")"),0)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IFERROR(__xludf.DUMMYFUNCTION("IMPORTRANGE(""https://docs.google.com/spreadsheets/d/1IYY_tgx_IHuhSq3AJ5eI5OnqOPBNLWSHKh2a30DoXe8/edit?usp=sharing"",""สตูล!M454"")"),0)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IFERROR(__xludf.DUMMYFUNCTION("IMPORTRANGE(""https://docs.google.com/spreadsheets/d/1IYY_tgx_IHuhSq3AJ5eI5OnqOPBNLWSHKh2a30DoXe8/edit?usp=sharing"",""สตูล!I455"")"),0)</f>
        <v>0</v>
      </c>
      <c r="J560" s="166">
        <f ca="1">IFERROR(__xludf.DUMMYFUNCTION("IMPORTRANGE(""https://docs.google.com/spreadsheets/d/1IYY_tgx_IHuhSq3AJ5eI5OnqOPBNLWSHKh2a30DoXe8/edit?usp=sharing"",""สตูล!J455"")"),0)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IFERROR(__xludf.DUMMYFUNCTION("IMPORTRANGE(""https://docs.google.com/spreadsheets/d/1IYY_tgx_IHuhSq3AJ5eI5OnqOPBNLWSHKh2a30DoXe8/edit?usp=sharing"",""สตูล!I456"")"),0)</f>
        <v>0</v>
      </c>
      <c r="J561" s="210">
        <f ca="1">IFERROR(__xludf.DUMMYFUNCTION("IMPORTRANGE(""https://docs.google.com/spreadsheets/d/1IYY_tgx_IHuhSq3AJ5eI5OnqOPBNLWSHKh2a30DoXe8/edit?usp=sharing"",""สตูล!J456"")"),0)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IFERROR(__xludf.DUMMYFUNCTION("IMPORTRANGE(""https://docs.google.com/spreadsheets/d/1IYY_tgx_IHuhSq3AJ5eI5OnqOPBNLWSHKh2a30DoXe8/edit?usp=sharing"",""สตูล!I459"")"),200)</f>
        <v>200</v>
      </c>
      <c r="J564" s="377">
        <f ca="1">IFERROR(__xludf.DUMMYFUNCTION("IMPORTRANGE(""https://docs.google.com/spreadsheets/d/1IYY_tgx_IHuhSq3AJ5eI5OnqOPBNLWSHKh2a30DoXe8/edit?usp=sharing"",""สตูล!J459"")"),398)</f>
        <v>398</v>
      </c>
      <c r="K564" s="378">
        <f ca="1">IF(I564&gt;0,J564*100/I564,0)</f>
        <v>199</v>
      </c>
      <c r="L564" s="379">
        <f ca="1">IFERROR(__xludf.DUMMYFUNCTION("IMPORTRANGE(""https://docs.google.com/spreadsheets/d/1IYY_tgx_IHuhSq3AJ5eI5OnqOPBNLWSHKh2a30DoXe8/edit?usp=sharing"",""สตูล!L459"")"),124480)</f>
        <v>124480</v>
      </c>
      <c r="M564" s="379"/>
      <c r="N564" s="379">
        <f ca="1">IFERROR(__xludf.DUMMYFUNCTION("IMPORTRANGE(""https://docs.google.com/spreadsheets/d/1IYY_tgx_IHuhSq3AJ5eI5OnqOPBNLWSHKh2a30DoXe8/edit?usp=sharing"",""สตูล!M459"")"),62651)</f>
        <v>62651</v>
      </c>
      <c r="O564" s="379">
        <f t="shared" ref="O564:O568" ca="1" si="122">+IF(L564&gt;0,N564*100/L564,0)</f>
        <v>50.330173521850902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IFERROR(__xludf.DUMMYFUNCTION("IMPORTRANGE(""https://docs.google.com/spreadsheets/d/1IYY_tgx_IHuhSq3AJ5eI5OnqOPBNLWSHKh2a30DoXe8/edit?usp=sharing"",""สตูล!L460"")"),0)</f>
        <v>0</v>
      </c>
      <c r="M565" s="168"/>
      <c r="N565" s="175">
        <f ca="1">IFERROR(__xludf.DUMMYFUNCTION("IMPORTRANGE(""https://docs.google.com/spreadsheets/d/1IYY_tgx_IHuhSq3AJ5eI5OnqOPBNLWSHKh2a30DoXe8/edit?usp=sharing"",""สตูล!M460"")"),0)</f>
        <v>0</v>
      </c>
      <c r="O565" s="175">
        <f t="shared" ca="1" si="122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IFERROR(__xludf.DUMMYFUNCTION("IMPORTRANGE(""https://docs.google.com/spreadsheets/d/1IYY_tgx_IHuhSq3AJ5eI5OnqOPBNLWSHKh2a30DoXe8/edit?usp=sharing"",""สตูล!L461"")"),124480)</f>
        <v>124480</v>
      </c>
      <c r="M566" s="169"/>
      <c r="N566" s="175">
        <f ca="1">IFERROR(__xludf.DUMMYFUNCTION("IMPORTRANGE(""https://docs.google.com/spreadsheets/d/1IYY_tgx_IHuhSq3AJ5eI5OnqOPBNLWSHKh2a30DoXe8/edit?usp=sharing"",""สตูล!M461"")"),62651)</f>
        <v>62651</v>
      </c>
      <c r="O566" s="175">
        <f t="shared" ca="1" si="122"/>
        <v>50.330173521850902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IFERROR(__xludf.DUMMYFUNCTION("IMPORTRANGE(""https://docs.google.com/spreadsheets/d/1IYY_tgx_IHuhSq3AJ5eI5OnqOPBNLWSHKh2a30DoXe8/edit?usp=sharing"",""สตูล!L462"")"),0)</f>
        <v>0</v>
      </c>
      <c r="M567" s="175"/>
      <c r="N567" s="175">
        <f ca="1">IFERROR(__xludf.DUMMYFUNCTION("IMPORTRANGE(""https://docs.google.com/spreadsheets/d/1IYY_tgx_IHuhSq3AJ5eI5OnqOPBNLWSHKh2a30DoXe8/edit?usp=sharing"",""สตูล!M462"")"),0)</f>
        <v>0</v>
      </c>
      <c r="O567" s="175">
        <f t="shared" ca="1" si="122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IFERROR(__xludf.DUMMYFUNCTION("IMPORTRANGE(""https://docs.google.com/spreadsheets/d/1IYY_tgx_IHuhSq3AJ5eI5OnqOPBNLWSHKh2a30DoXe8/edit?usp=sharing"",""สตูล!L463"")"),124480)</f>
        <v>124480</v>
      </c>
      <c r="M568" s="175"/>
      <c r="N568" s="175">
        <f ca="1">IFERROR(__xludf.DUMMYFUNCTION("IMPORTRANGE(""https://docs.google.com/spreadsheets/d/1IYY_tgx_IHuhSq3AJ5eI5OnqOPBNLWSHKh2a30DoXe8/edit?usp=sharing"",""สตูล!M463"")"),62651)</f>
        <v>62651</v>
      </c>
      <c r="O568" s="175">
        <f t="shared" ca="1" si="122"/>
        <v>50.330173521850902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IFERROR(__xludf.DUMMYFUNCTION("IMPORTRANGE(""https://docs.google.com/spreadsheets/d/1IYY_tgx_IHuhSq3AJ5eI5OnqOPBNLWSHKh2a30DoXe8/edit?usp=sharing"",""สตูล!M464"")"),0)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IFERROR(__xludf.DUMMYFUNCTION("IMPORTRANGE(""https://docs.google.com/spreadsheets/d/1IYY_tgx_IHuhSq3AJ5eI5OnqOPBNLWSHKh2a30DoXe8/edit?usp=sharing"",""สตูล!M465"")"),0)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IFERROR(__xludf.DUMMYFUNCTION("IMPORTRANGE(""https://docs.google.com/spreadsheets/d/1IYY_tgx_IHuhSq3AJ5eI5OnqOPBNLWSHKh2a30DoXe8/edit?usp=sharing"",""สตูล!M466"")"),0)</f>
        <v>0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IFERROR(__xludf.DUMMYFUNCTION("IMPORTRANGE(""https://docs.google.com/spreadsheets/d/1IYY_tgx_IHuhSq3AJ5eI5OnqOPBNLWSHKh2a30DoXe8/edit?usp=sharing"",""สตูล!M467"")"),62651)</f>
        <v>62651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IFERROR(__xludf.DUMMYFUNCTION("IMPORTRANGE(""https://docs.google.com/spreadsheets/d/1IYY_tgx_IHuhSq3AJ5eI5OnqOPBNLWSHKh2a30DoXe8/edit?usp=sharing"",""สตูล!I468"")"),200)</f>
        <v>200</v>
      </c>
      <c r="J573" s="426">
        <f ca="1">IFERROR(__xludf.DUMMYFUNCTION("IMPORTRANGE(""https://docs.google.com/spreadsheets/d/1IYY_tgx_IHuhSq3AJ5eI5OnqOPBNLWSHKh2a30DoXe8/edit?usp=sharing"",""สตูล!J468"")"),398)</f>
        <v>398</v>
      </c>
      <c r="K573" s="208">
        <f ca="1">IF(I573&gt;0,J573*100/I573,0)</f>
        <v>199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IFERROR(__xludf.DUMMYFUNCTION("IMPORTRANGE(""https://docs.google.com/spreadsheets/d/1IYY_tgx_IHuhSq3AJ5eI5OnqOPBNLWSHKh2a30DoXe8/edit?usp=sharing"",""สตูล!I470"")"),0)</f>
        <v>0</v>
      </c>
      <c r="J575" s="204">
        <f ca="1">IFERROR(__xludf.DUMMYFUNCTION("IMPORTRANGE(""https://docs.google.com/spreadsheets/d/1IYY_tgx_IHuhSq3AJ5eI5OnqOPBNLWSHKh2a30DoXe8/edit?usp=sharing"",""สตูล!J470"")"),7)</f>
        <v>7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IFERROR(__xludf.DUMMYFUNCTION("IMPORTRANGE(""https://docs.google.com/spreadsheets/d/1IYY_tgx_IHuhSq3AJ5eI5OnqOPBNLWSHKh2a30DoXe8/edit?usp=sharing"",""สตูล!I471"")"),0)</f>
        <v>0</v>
      </c>
      <c r="J576" s="204">
        <f ca="1">IFERROR(__xludf.DUMMYFUNCTION("IMPORTRANGE(""https://docs.google.com/spreadsheets/d/1IYY_tgx_IHuhSq3AJ5eI5OnqOPBNLWSHKh2a30DoXe8/edit?usp=sharing"",""สตูล!J471"")"),99)</f>
        <v>99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IFERROR(__xludf.DUMMYFUNCTION("IMPORTRANGE(""https://docs.google.com/spreadsheets/d/1IYY_tgx_IHuhSq3AJ5eI5OnqOPBNLWSHKh2a30DoXe8/edit?usp=sharing"",""สตูล!I472"")"),0)</f>
        <v>0</v>
      </c>
      <c r="J577" s="195">
        <f ca="1">IFERROR(__xludf.DUMMYFUNCTION("IMPORTRANGE(""https://docs.google.com/spreadsheets/d/1IYY_tgx_IHuhSq3AJ5eI5OnqOPBNLWSHKh2a30DoXe8/edit?usp=sharing"",""สตูล!J472"")"),299)</f>
        <v>299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IFERROR(__xludf.DUMMYFUNCTION("IMPORTRANGE(""https://docs.google.com/spreadsheets/d/1IYY_tgx_IHuhSq3AJ5eI5OnqOPBNLWSHKh2a30DoXe8/edit?usp=sharing"",""สตูล!I473"")"),0)</f>
        <v>0</v>
      </c>
      <c r="J578" s="204">
        <f ca="1">IFERROR(__xludf.DUMMYFUNCTION("IMPORTRANGE(""https://docs.google.com/spreadsheets/d/1IYY_tgx_IHuhSq3AJ5eI5OnqOPBNLWSHKh2a30DoXe8/edit?usp=sharing"",""สตูล!J473"")"),0)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IFERROR(__xludf.DUMMYFUNCTION("IMPORTRANGE(""https://docs.google.com/spreadsheets/d/1IYY_tgx_IHuhSq3AJ5eI5OnqOPBNLWSHKh2a30DoXe8/edit?usp=sharing"",""สตูล!I474"")"),0)</f>
        <v>0</v>
      </c>
      <c r="J579" s="204">
        <f ca="1">IFERROR(__xludf.DUMMYFUNCTION("IMPORTRANGE(""https://docs.google.com/spreadsheets/d/1IYY_tgx_IHuhSq3AJ5eI5OnqOPBNLWSHKh2a30DoXe8/edit?usp=sharing"",""สตูล!J474"")"),0)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IFERROR(__xludf.DUMMYFUNCTION("IMPORTRANGE(""https://docs.google.com/spreadsheets/d/1IYY_tgx_IHuhSq3AJ5eI5OnqOPBNLWSHKh2a30DoXe8/edit?usp=sharing"",""สตูล!I475"")"),0)</f>
        <v>0</v>
      </c>
      <c r="J580" s="377">
        <f ca="1">IFERROR(__xludf.DUMMYFUNCTION("IMPORTRANGE(""https://docs.google.com/spreadsheets/d/1IYY_tgx_IHuhSq3AJ5eI5OnqOPBNLWSHKh2a30DoXe8/edit?usp=sharing"",""สตูล!J475"")"),0)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IFERROR(__xludf.DUMMYFUNCTION("IMPORTRANGE(""https://docs.google.com/spreadsheets/d/1IYY_tgx_IHuhSq3AJ5eI5OnqOPBNLWSHKh2a30DoXe8/edit?usp=sharing"",""สตูล!L475"")"),0)</f>
        <v>0</v>
      </c>
      <c r="M580" s="379"/>
      <c r="N580" s="379">
        <f ca="1">IFERROR(__xludf.DUMMYFUNCTION("IMPORTRANGE(""https://docs.google.com/spreadsheets/d/1IYY_tgx_IHuhSq3AJ5eI5OnqOPBNLWSHKh2a30DoXe8/edit?usp=sharing"",""สตูล!M475"")"),0)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IFERROR(__xludf.DUMMYFUNCTION("IMPORTRANGE(""https://docs.google.com/spreadsheets/d/1IYY_tgx_IHuhSq3AJ5eI5OnqOPBNLWSHKh2a30DoXe8/edit?usp=sharing"",""สตูล!L476"")"),0)</f>
        <v>0</v>
      </c>
      <c r="M581" s="168"/>
      <c r="N581" s="175">
        <f ca="1">IFERROR(__xludf.DUMMYFUNCTION("IMPORTRANGE(""https://docs.google.com/spreadsheets/d/1IYY_tgx_IHuhSq3AJ5eI5OnqOPBNLWSHKh2a30DoXe8/edit?usp=sharing"",""สตูล!M476"")"),0)</f>
        <v>0</v>
      </c>
      <c r="O581" s="175">
        <f t="shared" ca="1" si="124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IFERROR(__xludf.DUMMYFUNCTION("IMPORTRANGE(""https://docs.google.com/spreadsheets/d/1IYY_tgx_IHuhSq3AJ5eI5OnqOPBNLWSHKh2a30DoXe8/edit?usp=sharing"",""สตูล!L477"")"),0)</f>
        <v>0</v>
      </c>
      <c r="M582" s="169"/>
      <c r="N582" s="175">
        <f ca="1">IFERROR(__xludf.DUMMYFUNCTION("IMPORTRANGE(""https://docs.google.com/spreadsheets/d/1IYY_tgx_IHuhSq3AJ5eI5OnqOPBNLWSHKh2a30DoXe8/edit?usp=sharing"",""สตูล!M477"")"),0)</f>
        <v>0</v>
      </c>
      <c r="O582" s="175">
        <f t="shared" ca="1" si="124"/>
        <v>0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IFERROR(__xludf.DUMMYFUNCTION("IMPORTRANGE(""https://docs.google.com/spreadsheets/d/1IYY_tgx_IHuhSq3AJ5eI5OnqOPBNLWSHKh2a30DoXe8/edit?usp=sharing"",""สตูล!L478"")"),0)</f>
        <v>0</v>
      </c>
      <c r="M583" s="175"/>
      <c r="N583" s="175">
        <f ca="1">IFERROR(__xludf.DUMMYFUNCTION("IMPORTRANGE(""https://docs.google.com/spreadsheets/d/1IYY_tgx_IHuhSq3AJ5eI5OnqOPBNLWSHKh2a30DoXe8/edit?usp=sharing"",""สตูล!M478"")"),0)</f>
        <v>0</v>
      </c>
      <c r="O583" s="175">
        <f t="shared" ca="1" si="124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IFERROR(__xludf.DUMMYFUNCTION("IMPORTRANGE(""https://docs.google.com/spreadsheets/d/1IYY_tgx_IHuhSq3AJ5eI5OnqOPBNLWSHKh2a30DoXe8/edit?usp=sharing"",""สตูล!L479"")"),0)</f>
        <v>0</v>
      </c>
      <c r="M584" s="175"/>
      <c r="N584" s="175">
        <f ca="1">IFERROR(__xludf.DUMMYFUNCTION("IMPORTRANGE(""https://docs.google.com/spreadsheets/d/1IYY_tgx_IHuhSq3AJ5eI5OnqOPBNLWSHKh2a30DoXe8/edit?usp=sharing"",""สตูล!M479"")"),0)</f>
        <v>0</v>
      </c>
      <c r="O584" s="175">
        <f t="shared" ca="1" si="124"/>
        <v>0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IFERROR(__xludf.DUMMYFUNCTION("IMPORTRANGE(""https://docs.google.com/spreadsheets/d/1IYY_tgx_IHuhSq3AJ5eI5OnqOPBNLWSHKh2a30DoXe8/edit?usp=sharing"",""สตูล!M480"")"),0)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IFERROR(__xludf.DUMMYFUNCTION("IMPORTRANGE(""https://docs.google.com/spreadsheets/d/1IYY_tgx_IHuhSq3AJ5eI5OnqOPBNLWSHKh2a30DoXe8/edit?usp=sharing"",""สตูล!M481"")"),0)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IFERROR(__xludf.DUMMYFUNCTION("IMPORTRANGE(""https://docs.google.com/spreadsheets/d/1IYY_tgx_IHuhSq3AJ5eI5OnqOPBNLWSHKh2a30DoXe8/edit?usp=sharing"",""สตูล!M482"")"),0)</f>
        <v>0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IFERROR(__xludf.DUMMYFUNCTION("IMPORTRANGE(""https://docs.google.com/spreadsheets/d/1IYY_tgx_IHuhSq3AJ5eI5OnqOPBNLWSHKh2a30DoXe8/edit?usp=sharing"",""สตูล!M483"")"),0)</f>
        <v>0</v>
      </c>
      <c r="O588" s="175"/>
      <c r="P588" s="175"/>
    </row>
    <row r="589" spans="1:16" ht="21.75" customHeight="1" x14ac:dyDescent="0.2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IFERROR(__xludf.DUMMYFUNCTION("IMPORTRANGE(""https://docs.google.com/spreadsheets/d/1IYY_tgx_IHuhSq3AJ5eI5OnqOPBNLWSHKh2a30DoXe8/edit?usp=sharing"",""สตูล!I484"")"),0)</f>
        <v>0</v>
      </c>
      <c r="J589" s="194">
        <f ca="1">IFERROR(__xludf.DUMMYFUNCTION("IMPORTRANGE(""https://docs.google.com/spreadsheets/d/1IYY_tgx_IHuhSq3AJ5eI5OnqOPBNLWSHKh2a30DoXe8/edit?usp=sharing"",""สตูล!J484"")"),0)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2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IFERROR(__xludf.DUMMYFUNCTION("IMPORTRANGE(""https://docs.google.com/spreadsheets/d/1IYY_tgx_IHuhSq3AJ5eI5OnqOPBNLWSHKh2a30DoXe8/edit?usp=sharing"",""สตูล!I485"")"),0)</f>
        <v>0</v>
      </c>
      <c r="J590" s="194">
        <f ca="1">IFERROR(__xludf.DUMMYFUNCTION("IMPORTRANGE(""https://docs.google.com/spreadsheets/d/1IYY_tgx_IHuhSq3AJ5eI5OnqOPBNLWSHKh2a30DoXe8/edit?usp=sharing"",""สตูล!J485"")"),0)</f>
        <v>0</v>
      </c>
      <c r="K590" s="486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IFERROR(__xludf.DUMMYFUNCTION("IMPORTRANGE(""https://docs.google.com/spreadsheets/d/1IYY_tgx_IHuhSq3AJ5eI5OnqOPBNLWSHKh2a30DoXe8/edit?usp=sharing"",""สตูล!I486"")"),0)</f>
        <v>0</v>
      </c>
      <c r="J591" s="194">
        <f ca="1">IFERROR(__xludf.DUMMYFUNCTION("IMPORTRANGE(""https://docs.google.com/spreadsheets/d/1IYY_tgx_IHuhSq3AJ5eI5OnqOPBNLWSHKh2a30DoXe8/edit?usp=sharing"",""สตูล!J486"")"),0)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2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IFERROR(__xludf.DUMMYFUNCTION("IMPORTRANGE(""https://docs.google.com/spreadsheets/d/1IYY_tgx_IHuhSq3AJ5eI5OnqOPBNLWSHKh2a30DoXe8/edit?usp=sharing"",""สตูล!I487"")"),0)</f>
        <v>0</v>
      </c>
      <c r="J592" s="194">
        <f ca="1">IFERROR(__xludf.DUMMYFUNCTION("IMPORTRANGE(""https://docs.google.com/spreadsheets/d/1IYY_tgx_IHuhSq3AJ5eI5OnqOPBNLWSHKh2a30DoXe8/edit?usp=sharing"",""สตูล!J487"")"),0)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IFERROR(__xludf.DUMMYFUNCTION("IMPORTRANGE(""https://docs.google.com/spreadsheets/d/1IYY_tgx_IHuhSq3AJ5eI5OnqOPBNLWSHKh2a30DoXe8/edit?usp=sharing"",""สตูล!I488"")"),0)</f>
        <v>0</v>
      </c>
      <c r="J593" s="194">
        <f ca="1">IFERROR(__xludf.DUMMYFUNCTION("IMPORTRANGE(""https://docs.google.com/spreadsheets/d/1IYY_tgx_IHuhSq3AJ5eI5OnqOPBNLWSHKh2a30DoXe8/edit?usp=sharing"",""สตูล!J488"")"),0)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2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IFERROR(__xludf.DUMMYFUNCTION("IMPORTRANGE(""https://docs.google.com/spreadsheets/d/1IYY_tgx_IHuhSq3AJ5eI5OnqOPBNLWSHKh2a30DoXe8/edit?usp=sharing"",""สตูล!I489"")"),0)</f>
        <v>0</v>
      </c>
      <c r="J594" s="194">
        <f ca="1">IFERROR(__xludf.DUMMYFUNCTION("IMPORTRANGE(""https://docs.google.com/spreadsheets/d/1IYY_tgx_IHuhSq3AJ5eI5OnqOPBNLWSHKh2a30DoXe8/edit?usp=sharing"",""สตูล!J489"")"),0)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IFERROR(__xludf.DUMMYFUNCTION("IMPORTRANGE(""https://docs.google.com/spreadsheets/d/1IYY_tgx_IHuhSq3AJ5eI5OnqOPBNLWSHKh2a30DoXe8/edit?usp=sharing"",""สตูล!I490"")"),0)</f>
        <v>0</v>
      </c>
      <c r="J595" s="194">
        <f ca="1">IFERROR(__xludf.DUMMYFUNCTION("IMPORTRANGE(""https://docs.google.com/spreadsheets/d/1IYY_tgx_IHuhSq3AJ5eI5OnqOPBNLWSHKh2a30DoXe8/edit?usp=sharing"",""สตูล!J490"")"),0)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2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IFERROR(__xludf.DUMMYFUNCTION("IMPORTRANGE(""https://docs.google.com/spreadsheets/d/1IYY_tgx_IHuhSq3AJ5eI5OnqOPBNLWSHKh2a30DoXe8/edit?usp=sharing"",""สตูล!I491"")"),0)</f>
        <v>0</v>
      </c>
      <c r="J596" s="247">
        <f ca="1">IFERROR(__xludf.DUMMYFUNCTION("IMPORTRANGE(""https://docs.google.com/spreadsheets/d/1IYY_tgx_IHuhSq3AJ5eI5OnqOPBNLWSHKh2a30DoXe8/edit?usp=sharing"",""สตูล!J491"")"),0)</f>
        <v>0</v>
      </c>
      <c r="K596" s="493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IFERROR(__xludf.DUMMYFUNCTION("IMPORTRANGE(""https://docs.google.com/spreadsheets/d/1IYY_tgx_IHuhSq3AJ5eI5OnqOPBNLWSHKh2a30DoXe8/edit?usp=sharing"",""สตูล!I492"")"),100)</f>
        <v>100</v>
      </c>
      <c r="J597" s="494">
        <f ca="1">IFERROR(__xludf.DUMMYFUNCTION("IMPORTRANGE(""https://docs.google.com/spreadsheets/d/1IYY_tgx_IHuhSq3AJ5eI5OnqOPBNLWSHKh2a30DoXe8/edit?usp=sharing"",""สตูล!J492"")"),0)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IFERROR(__xludf.DUMMYFUNCTION("IMPORTRANGE(""https://docs.google.com/spreadsheets/d/1IYY_tgx_IHuhSq3AJ5eI5OnqOPBNLWSHKh2a30DoXe8/edit?usp=sharing"",""สตูล!L492"")"),2600)</f>
        <v>2600</v>
      </c>
      <c r="M597" s="418"/>
      <c r="N597" s="418">
        <f ca="1">IFERROR(__xludf.DUMMYFUNCTION("IMPORTRANGE(""https://docs.google.com/spreadsheets/d/1IYY_tgx_IHuhSq3AJ5eI5OnqOPBNLWSHKh2a30DoXe8/edit?usp=sharing"",""สตูล!M492"")"),1140)</f>
        <v>1140</v>
      </c>
      <c r="O597" s="418">
        <f t="shared" ref="O597:O601" ca="1" si="126">+IF(L597&gt;0,N597*100/L597,0)</f>
        <v>43.846153846153847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IFERROR(__xludf.DUMMYFUNCTION("IMPORTRANGE(""https://docs.google.com/spreadsheets/d/1IYY_tgx_IHuhSq3AJ5eI5OnqOPBNLWSHKh2a30DoXe8/edit?usp=sharing"",""สตูล!L493"")"),0)</f>
        <v>0</v>
      </c>
      <c r="M598" s="168"/>
      <c r="N598" s="175">
        <f ca="1">IFERROR(__xludf.DUMMYFUNCTION("IMPORTRANGE(""https://docs.google.com/spreadsheets/d/1IYY_tgx_IHuhSq3AJ5eI5OnqOPBNLWSHKh2a30DoXe8/edit?usp=sharing"",""สตูล!M493"")"),0)</f>
        <v>0</v>
      </c>
      <c r="O598" s="175">
        <f t="shared" ca="1" si="126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IFERROR(__xludf.DUMMYFUNCTION("IMPORTRANGE(""https://docs.google.com/spreadsheets/d/1IYY_tgx_IHuhSq3AJ5eI5OnqOPBNLWSHKh2a30DoXe8/edit?usp=sharing"",""สตูล!L494"")"),2600)</f>
        <v>2600</v>
      </c>
      <c r="M599" s="169"/>
      <c r="N599" s="175">
        <f ca="1">IFERROR(__xludf.DUMMYFUNCTION("IMPORTRANGE(""https://docs.google.com/spreadsheets/d/1IYY_tgx_IHuhSq3AJ5eI5OnqOPBNLWSHKh2a30DoXe8/edit?usp=sharing"",""สตูล!M494"")"),1140)</f>
        <v>1140</v>
      </c>
      <c r="O599" s="175">
        <f t="shared" ca="1" si="126"/>
        <v>43.846153846153847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IFERROR(__xludf.DUMMYFUNCTION("IMPORTRANGE(""https://docs.google.com/spreadsheets/d/1IYY_tgx_IHuhSq3AJ5eI5OnqOPBNLWSHKh2a30DoXe8/edit?usp=sharing"",""สตูล!L495"")"),0)</f>
        <v>0</v>
      </c>
      <c r="M600" s="175"/>
      <c r="N600" s="175">
        <f ca="1">IFERROR(__xludf.DUMMYFUNCTION("IMPORTRANGE(""https://docs.google.com/spreadsheets/d/1IYY_tgx_IHuhSq3AJ5eI5OnqOPBNLWSHKh2a30DoXe8/edit?usp=sharing"",""สตูล!M495"")"),0)</f>
        <v>0</v>
      </c>
      <c r="O600" s="175">
        <f t="shared" ca="1" si="126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IFERROR(__xludf.DUMMYFUNCTION("IMPORTRANGE(""https://docs.google.com/spreadsheets/d/1IYY_tgx_IHuhSq3AJ5eI5OnqOPBNLWSHKh2a30DoXe8/edit?usp=sharing"",""สตูล!L496"")"),2600)</f>
        <v>2600</v>
      </c>
      <c r="M601" s="175"/>
      <c r="N601" s="175">
        <f ca="1">IFERROR(__xludf.DUMMYFUNCTION("IMPORTRANGE(""https://docs.google.com/spreadsheets/d/1IYY_tgx_IHuhSq3AJ5eI5OnqOPBNLWSHKh2a30DoXe8/edit?usp=sharing"",""สตูล!M496"")"),1140)</f>
        <v>1140</v>
      </c>
      <c r="O601" s="175">
        <f t="shared" ca="1" si="126"/>
        <v>43.846153846153847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IFERROR(__xludf.DUMMYFUNCTION("IMPORTRANGE(""https://docs.google.com/spreadsheets/d/1IYY_tgx_IHuhSq3AJ5eI5OnqOPBNLWSHKh2a30DoXe8/edit?usp=sharing"",""สตูล!M497"")"),0)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IFERROR(__xludf.DUMMYFUNCTION("IMPORTRANGE(""https://docs.google.com/spreadsheets/d/1IYY_tgx_IHuhSq3AJ5eI5OnqOPBNLWSHKh2a30DoXe8/edit?usp=sharing"",""สตูล!M498"")"),0)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IFERROR(__xludf.DUMMYFUNCTION("IMPORTRANGE(""https://docs.google.com/spreadsheets/d/1IYY_tgx_IHuhSq3AJ5eI5OnqOPBNLWSHKh2a30DoXe8/edit?usp=sharing"",""สตูล!M499"")"),0)</f>
        <v>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IFERROR(__xludf.DUMMYFUNCTION("IMPORTRANGE(""https://docs.google.com/spreadsheets/d/1IYY_tgx_IHuhSq3AJ5eI5OnqOPBNLWSHKh2a30DoXe8/edit?usp=sharing"",""สตูล!M500"")"),1140)</f>
        <v>1140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IFERROR(__xludf.DUMMYFUNCTION("IMPORTRANGE(""https://docs.google.com/spreadsheets/d/1IYY_tgx_IHuhSq3AJ5eI5OnqOPBNLWSHKh2a30DoXe8/edit?usp=sharing"",""สตูล!J502"")"),0)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IFERROR(__xludf.DUMMYFUNCTION("IMPORTRANGE(""https://docs.google.com/spreadsheets/d/1IYY_tgx_IHuhSq3AJ5eI5OnqOPBNLWSHKh2a30DoXe8/edit?usp=sharing"",""สตูล!J503"")"),1)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IFERROR(__xludf.DUMMYFUNCTION("IMPORTRANGE(""https://docs.google.com/spreadsheets/d/1IYY_tgx_IHuhSq3AJ5eI5OnqOPBNLWSHKh2a30DoXe8/edit?usp=sharing"",""สตูล!J166"")"),0)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2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IFERROR(__xludf.DUMMYFUNCTION("IMPORTRANGE(""https://docs.google.com/spreadsheets/d/1IYY_tgx_IHuhSq3AJ5eI5OnqOPBNLWSHKh2a30DoXe8/edit?usp=sharing"",""สตูล!J166"")"),0)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IFERROR(__xludf.DUMMYFUNCTION("IMPORTRANGE(""https://docs.google.com/spreadsheets/d/1IYY_tgx_IHuhSq3AJ5eI5OnqOPBNLWSHKh2a30DoXe8/edit?usp=sharing"",""สตูล!I506"")"),100)</f>
        <v>100</v>
      </c>
      <c r="J611" s="166">
        <f ca="1">IFERROR(__xludf.DUMMYFUNCTION("IMPORTRANGE(""https://docs.google.com/spreadsheets/d/1IYY_tgx_IHuhSq3AJ5eI5OnqOPBNLWSHKh2a30DoXe8/edit?usp=sharing"",""สตูล!J506"")"),0)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IFERROR(__xludf.DUMMYFUNCTION("IMPORTRANGE(""https://docs.google.com/spreadsheets/d/1IYY_tgx_IHuhSq3AJ5eI5OnqOPBNLWSHKh2a30DoXe8/edit?usp=sharing"",""สตูล!I507"")"),0)</f>
        <v>0</v>
      </c>
      <c r="J612" s="204">
        <f ca="1">IFERROR(__xludf.DUMMYFUNCTION("IMPORTRANGE(""https://docs.google.com/spreadsheets/d/1IYY_tgx_IHuhSq3AJ5eI5OnqOPBNLWSHKh2a30DoXe8/edit?usp=sharing"",""สตูล!J507"")"),0)</f>
        <v>0</v>
      </c>
      <c r="K612" s="167">
        <f t="shared" ca="1" si="127"/>
        <v>0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IFERROR(__xludf.DUMMYFUNCTION("IMPORTRANGE(""https://docs.google.com/spreadsheets/d/1IYY_tgx_IHuhSq3AJ5eI5OnqOPBNLWSHKh2a30DoXe8/edit?usp=sharing"",""สตูล!I508"")"),0)</f>
        <v>0</v>
      </c>
      <c r="J613" s="204">
        <f ca="1">IFERROR(__xludf.DUMMYFUNCTION("IMPORTRANGE(""https://docs.google.com/spreadsheets/d/1IYY_tgx_IHuhSq3AJ5eI5OnqOPBNLWSHKh2a30DoXe8/edit?usp=sharing"",""สตูล!J508"")"),0)</f>
        <v>0</v>
      </c>
      <c r="K613" s="167">
        <f t="shared" ca="1" si="127"/>
        <v>0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IFERROR(__xludf.DUMMYFUNCTION("IMPORTRANGE(""https://docs.google.com/spreadsheets/d/1IYY_tgx_IHuhSq3AJ5eI5OnqOPBNLWSHKh2a30DoXe8/edit?usp=sharing"",""สตูล!I509"")"),0)</f>
        <v>0</v>
      </c>
      <c r="J614" s="204">
        <f ca="1">IFERROR(__xludf.DUMMYFUNCTION("IMPORTRANGE(""https://docs.google.com/spreadsheets/d/1IYY_tgx_IHuhSq3AJ5eI5OnqOPBNLWSHKh2a30DoXe8/edit?usp=sharing"",""สตูล!J509"")"),0)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IFERROR(__xludf.DUMMYFUNCTION("IMPORTRANGE(""https://docs.google.com/spreadsheets/d/1IYY_tgx_IHuhSq3AJ5eI5OnqOPBNLWSHKh2a30DoXe8/edit?usp=sharing"",""สตูล!I510"")"),0)</f>
        <v>0</v>
      </c>
      <c r="J615" s="204">
        <f ca="1">IFERROR(__xludf.DUMMYFUNCTION("IMPORTRANGE(""https://docs.google.com/spreadsheets/d/1IYY_tgx_IHuhSq3AJ5eI5OnqOPBNLWSHKh2a30DoXe8/edit?usp=sharing"",""สตูล!J510"")"),0)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IFERROR(__xludf.DUMMYFUNCTION("IMPORTRANGE(""https://docs.google.com/spreadsheets/d/1IYY_tgx_IHuhSq3AJ5eI5OnqOPBNLWSHKh2a30DoXe8/edit?usp=sharing"",""สตูล!I511"")"),0)</f>
        <v>0</v>
      </c>
      <c r="J616" s="204">
        <f ca="1">IFERROR(__xludf.DUMMYFUNCTION("IMPORTRANGE(""https://docs.google.com/spreadsheets/d/1IYY_tgx_IHuhSq3AJ5eI5OnqOPBNLWSHKh2a30DoXe8/edit?usp=sharing"",""สตูล!J511"")"),0)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IFERROR(__xludf.DUMMYFUNCTION("IMPORTRANGE(""https://docs.google.com/spreadsheets/d/1IYY_tgx_IHuhSq3AJ5eI5OnqOPBNLWSHKh2a30DoXe8/edit?usp=sharing"",""สตูล!I512"")"),0)</f>
        <v>0</v>
      </c>
      <c r="J617" s="194">
        <f ca="1">IFERROR(__xludf.DUMMYFUNCTION("IMPORTRANGE(""https://docs.google.com/spreadsheets/d/1IYY_tgx_IHuhSq3AJ5eI5OnqOPBNLWSHKh2a30DoXe8/edit?usp=sharing"",""สตูล!J512"")"),0)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IFERROR(__xludf.DUMMYFUNCTION("IMPORTRANGE(""https://docs.google.com/spreadsheets/d/1IYY_tgx_IHuhSq3AJ5eI5OnqOPBNLWSHKh2a30DoXe8/edit?usp=sharing"",""สตูล!I513"")"),0)</f>
        <v>0</v>
      </c>
      <c r="J618" s="195">
        <f ca="1">IFERROR(__xludf.DUMMYFUNCTION("IMPORTRANGE(""https://docs.google.com/spreadsheets/d/1IYY_tgx_IHuhSq3AJ5eI5OnqOPBNLWSHKh2a30DoXe8/edit?usp=sharing"",""สตูล!J513"")"),0)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IFERROR(__xludf.DUMMYFUNCTION("IMPORTRANGE(""https://docs.google.com/spreadsheets/d/1IYY_tgx_IHuhSq3AJ5eI5OnqOPBNLWSHKh2a30DoXe8/edit?usp=sharing"",""สตูล!I514"")"),0)</f>
        <v>0</v>
      </c>
      <c r="J619" s="195">
        <f ca="1">IFERROR(__xludf.DUMMYFUNCTION("IMPORTRANGE(""https://docs.google.com/spreadsheets/d/1IYY_tgx_IHuhSq3AJ5eI5OnqOPBNLWSHKh2a30DoXe8/edit?usp=sharing"",""สตูล!J514"")"),0)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IFERROR(__xludf.DUMMYFUNCTION("IMPORTRANGE(""https://docs.google.com/spreadsheets/d/1IYY_tgx_IHuhSq3AJ5eI5OnqOPBNLWSHKh2a30DoXe8/edit?usp=sharing"",""สตูล!I515"")"),0)</f>
        <v>0</v>
      </c>
      <c r="J620" s="209">
        <f ca="1">IFERROR(__xludf.DUMMYFUNCTION("IMPORTRANGE(""https://docs.google.com/spreadsheets/d/1IYY_tgx_IHuhSq3AJ5eI5OnqOPBNLWSHKh2a30DoXe8/edit?usp=sharing"",""สตูล!J515"")"),0)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IFERROR(__xludf.DUMMYFUNCTION("IMPORTRANGE(""https://docs.google.com/spreadsheets/d/1IYY_tgx_IHuhSq3AJ5eI5OnqOPBNLWSHKh2a30DoXe8/edit?usp=sharing"",""สตูล!I516"")"),0)</f>
        <v>0</v>
      </c>
      <c r="J621" s="209">
        <f ca="1">IFERROR(__xludf.DUMMYFUNCTION("IMPORTRANGE(""https://docs.google.com/spreadsheets/d/1IYY_tgx_IHuhSq3AJ5eI5OnqOPBNLWSHKh2a30DoXe8/edit?usp=sharing"",""สตูล!J516"")"),0)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IFERROR(__xludf.DUMMYFUNCTION("IMPORTRANGE(""https://docs.google.com/spreadsheets/d/1IYY_tgx_IHuhSq3AJ5eI5OnqOPBNLWSHKh2a30DoXe8/edit?usp=sharing"",""สตูล!I517"")"),0)</f>
        <v>0</v>
      </c>
      <c r="J622" s="195">
        <f ca="1">IFERROR(__xludf.DUMMYFUNCTION("IMPORTRANGE(""https://docs.google.com/spreadsheets/d/1IYY_tgx_IHuhSq3AJ5eI5OnqOPBNLWSHKh2a30DoXe8/edit?usp=sharing"",""สตูล!J517"")"),0)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IFERROR(__xludf.DUMMYFUNCTION("IMPORTRANGE(""https://docs.google.com/spreadsheets/d/1IYY_tgx_IHuhSq3AJ5eI5OnqOPBNLWSHKh2a30DoXe8/edit?usp=sharing"",""สตูล!I518"")"),0)</f>
        <v>0</v>
      </c>
      <c r="J623" s="195">
        <f ca="1">IFERROR(__xludf.DUMMYFUNCTION("IMPORTRANGE(""https://docs.google.com/spreadsheets/d/1IYY_tgx_IHuhSq3AJ5eI5OnqOPBNLWSHKh2a30DoXe8/edit?usp=sharing"",""สตูล!J518"")"),0)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IFERROR(__xludf.DUMMYFUNCTION("IMPORTRANGE(""https://docs.google.com/spreadsheets/d/1IYY_tgx_IHuhSq3AJ5eI5OnqOPBNLWSHKh2a30DoXe8/edit?usp=sharing"",""สตูล!I519"")"),0)</f>
        <v>0</v>
      </c>
      <c r="J624" s="194">
        <f ca="1">IFERROR(__xludf.DUMMYFUNCTION("IMPORTRANGE(""https://docs.google.com/spreadsheets/d/1IYY_tgx_IHuhSq3AJ5eI5OnqOPBNLWSHKh2a30DoXe8/edit?usp=sharing"",""สตูล!J519"")"),0)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IFERROR(__xludf.DUMMYFUNCTION("IMPORTRANGE(""https://docs.google.com/spreadsheets/d/1IYY_tgx_IHuhSq3AJ5eI5OnqOPBNLWSHKh2a30DoXe8/edit?usp=sharing"",""สตูล!I520"")"),0)</f>
        <v>0</v>
      </c>
      <c r="J625" s="195">
        <f ca="1">IFERROR(__xludf.DUMMYFUNCTION("IMPORTRANGE(""https://docs.google.com/spreadsheets/d/1IYY_tgx_IHuhSq3AJ5eI5OnqOPBNLWSHKh2a30DoXe8/edit?usp=sharing"",""สตูล!J520"")"),0)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IFERROR(__xludf.DUMMYFUNCTION("IMPORTRANGE(""https://docs.google.com/spreadsheets/d/1IYY_tgx_IHuhSq3AJ5eI5OnqOPBNLWSHKh2a30DoXe8/edit?usp=sharing"",""สตูล!I521"")"),0)</f>
        <v>0</v>
      </c>
      <c r="J626" s="195">
        <f ca="1">IFERROR(__xludf.DUMMYFUNCTION("IMPORTRANGE(""https://docs.google.com/spreadsheets/d/1IYY_tgx_IHuhSq3AJ5eI5OnqOPBNLWSHKh2a30DoXe8/edit?usp=sharing"",""สตูล!J521"")"),0)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2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2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IFERROR(__xludf.DUMMYFUNCTION("IMPORTRANGE(""https://docs.google.com/spreadsheets/d/1IYY_tgx_IHuhSq3AJ5eI5OnqOPBNLWSHKh2a30DoXe8/edit?usp=sharing"",""สตูล!I523"")"),298824.87)</f>
        <v>298824.87</v>
      </c>
      <c r="J628" s="347">
        <f ca="1">IFERROR(__xludf.DUMMYFUNCTION("IMPORTRANGE(""https://docs.google.com/spreadsheets/d/1IYY_tgx_IHuhSq3AJ5eI5OnqOPBNLWSHKh2a30DoXe8/edit?usp=sharing"",""สตูล!J523"")"),299384.91)</f>
        <v>299384.90999999997</v>
      </c>
      <c r="K628" s="348">
        <f t="shared" ref="K628:K635" ca="1" si="129">IF(I628&gt;0,J628*100/I628,0)</f>
        <v>100.18741411984885</v>
      </c>
      <c r="L628" s="348"/>
      <c r="M628" s="348"/>
      <c r="N628" s="348"/>
      <c r="O628" s="175"/>
      <c r="P628" s="175"/>
    </row>
    <row r="629" spans="1:16" ht="21.75" customHeight="1" x14ac:dyDescent="0.2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IFERROR(__xludf.DUMMYFUNCTION("IMPORTRANGE(""https://docs.google.com/spreadsheets/d/1IYY_tgx_IHuhSq3AJ5eI5OnqOPBNLWSHKh2a30DoXe8/edit?usp=sharing"",""สตูล!I524"")"),36)</f>
        <v>36</v>
      </c>
      <c r="J629" s="347">
        <f ca="1">IFERROR(__xludf.DUMMYFUNCTION("IMPORTRANGE(""https://docs.google.com/spreadsheets/d/1IYY_tgx_IHuhSq3AJ5eI5OnqOPBNLWSHKh2a30DoXe8/edit?usp=sharing"",""สตูล!J524"")"),36)</f>
        <v>36</v>
      </c>
      <c r="K629" s="348">
        <f t="shared" ca="1" si="129"/>
        <v>100</v>
      </c>
      <c r="L629" s="348"/>
      <c r="M629" s="348"/>
      <c r="N629" s="348"/>
      <c r="O629" s="175"/>
      <c r="P629" s="175"/>
    </row>
    <row r="630" spans="1:16" ht="21.75" customHeight="1" x14ac:dyDescent="0.2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IFERROR(__xludf.DUMMYFUNCTION("IMPORTRANGE(""https://docs.google.com/spreadsheets/d/1IYY_tgx_IHuhSq3AJ5eI5OnqOPBNLWSHKh2a30DoXe8/edit?usp=sharing"",""สตูล!I525"")"),12403)</f>
        <v>12403</v>
      </c>
      <c r="J630" s="347">
        <f ca="1">IFERROR(__xludf.DUMMYFUNCTION("IMPORTRANGE(""https://docs.google.com/spreadsheets/d/1IYY_tgx_IHuhSq3AJ5eI5OnqOPBNLWSHKh2a30DoXe8/edit?usp=sharing"",""สตูล!J525"")"),5052)</f>
        <v>5052</v>
      </c>
      <c r="K630" s="348">
        <f t="shared" ca="1" si="129"/>
        <v>40.732080948157702</v>
      </c>
      <c r="L630" s="348"/>
      <c r="M630" s="348"/>
      <c r="N630" s="348"/>
      <c r="O630" s="175"/>
      <c r="P630" s="175"/>
    </row>
    <row r="631" spans="1:16" ht="21.75" customHeight="1" x14ac:dyDescent="0.2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IFERROR(__xludf.DUMMYFUNCTION("IMPORTRANGE(""https://docs.google.com/spreadsheets/d/1IYY_tgx_IHuhSq3AJ5eI5OnqOPBNLWSHKh2a30DoXe8/edit?usp=sharing"",""สตูล!I526"")"),1)</f>
        <v>1</v>
      </c>
      <c r="J631" s="347">
        <f ca="1">IFERROR(__xludf.DUMMYFUNCTION("IMPORTRANGE(""https://docs.google.com/spreadsheets/d/1IYY_tgx_IHuhSq3AJ5eI5OnqOPBNLWSHKh2a30DoXe8/edit?usp=sharing"",""สตูล!J526"")"),2)</f>
        <v>2</v>
      </c>
      <c r="K631" s="348">
        <f t="shared" ca="1" si="129"/>
        <v>200</v>
      </c>
      <c r="L631" s="348"/>
      <c r="M631" s="348"/>
      <c r="N631" s="348"/>
      <c r="O631" s="175"/>
      <c r="P631" s="175"/>
    </row>
    <row r="632" spans="1:16" ht="21.75" customHeight="1" x14ac:dyDescent="0.2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IFERROR(__xludf.DUMMYFUNCTION("IMPORTRANGE(""https://docs.google.com/spreadsheets/d/1IYY_tgx_IHuhSq3AJ5eI5OnqOPBNLWSHKh2a30DoXe8/edit?usp=sharing"",""สตูล!I527"")"),0)</f>
        <v>0</v>
      </c>
      <c r="J632" s="347">
        <f ca="1">IFERROR(__xludf.DUMMYFUNCTION("IMPORTRANGE(""https://docs.google.com/spreadsheets/d/1IYY_tgx_IHuhSq3AJ5eI5OnqOPBNLWSHKh2a30DoXe8/edit?usp=sharing"",""สตูล!J527"")"),0)</f>
        <v>0</v>
      </c>
      <c r="K632" s="348">
        <f t="shared" ca="1" si="129"/>
        <v>0</v>
      </c>
      <c r="L632" s="348"/>
      <c r="M632" s="348"/>
      <c r="N632" s="348"/>
      <c r="O632" s="175"/>
      <c r="P632" s="175"/>
    </row>
    <row r="633" spans="1:16" ht="21.75" customHeight="1" x14ac:dyDescent="0.2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IFERROR(__xludf.DUMMYFUNCTION("IMPORTRANGE(""https://docs.google.com/spreadsheets/d/1IYY_tgx_IHuhSq3AJ5eI5OnqOPBNLWSHKh2a30DoXe8/edit?usp=sharing"",""สตูล!I528"")"),0)</f>
        <v>0</v>
      </c>
      <c r="J633" s="347">
        <f ca="1">IFERROR(__xludf.DUMMYFUNCTION("IMPORTRANGE(""https://docs.google.com/spreadsheets/d/1IYY_tgx_IHuhSq3AJ5eI5OnqOPBNLWSHKh2a30DoXe8/edit?usp=sharing"",""สตูล!J528"")"),0)</f>
        <v>0</v>
      </c>
      <c r="K633" s="348">
        <f t="shared" ca="1" si="129"/>
        <v>0</v>
      </c>
      <c r="L633" s="348"/>
      <c r="M633" s="348"/>
      <c r="N633" s="348"/>
      <c r="O633" s="175"/>
      <c r="P633" s="175"/>
    </row>
    <row r="634" spans="1:16" ht="21.75" customHeight="1" x14ac:dyDescent="0.2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IFERROR(__xludf.DUMMYFUNCTION("IMPORTRANGE(""https://docs.google.com/spreadsheets/d/1IYY_tgx_IHuhSq3AJ5eI5OnqOPBNLWSHKh2a30DoXe8/edit?usp=sharing"",""สตูล!I529"")"),510000)</f>
        <v>510000</v>
      </c>
      <c r="J634" s="347">
        <f ca="1">IFERROR(__xludf.DUMMYFUNCTION("IMPORTRANGE(""https://docs.google.com/spreadsheets/d/1IYY_tgx_IHuhSq3AJ5eI5OnqOPBNLWSHKh2a30DoXe8/edit?usp=sharing"",""สตูล!J529"")"),510000)</f>
        <v>510000</v>
      </c>
      <c r="K634" s="348">
        <f t="shared" ca="1" si="129"/>
        <v>100</v>
      </c>
      <c r="L634" s="348"/>
      <c r="M634" s="348"/>
      <c r="N634" s="348"/>
      <c r="O634" s="175"/>
      <c r="P634" s="175"/>
    </row>
    <row r="635" spans="1:16" ht="21.75" customHeight="1" x14ac:dyDescent="0.25">
      <c r="A635" s="487"/>
      <c r="B635" s="489"/>
      <c r="C635" s="489"/>
      <c r="D635" s="488"/>
      <c r="E635" s="515"/>
      <c r="F635" s="515"/>
      <c r="G635" s="516"/>
      <c r="H635" s="517" t="s">
        <v>37</v>
      </c>
      <c r="I635" s="518">
        <f ca="1">IFERROR(__xludf.DUMMYFUNCTION("IMPORTRANGE(""https://docs.google.com/spreadsheets/d/1IYY_tgx_IHuhSq3AJ5eI5OnqOPBNLWSHKh2a30DoXe8/edit?usp=sharing"",""สตูล!I530"")"),9)</f>
        <v>9</v>
      </c>
      <c r="J635" s="518">
        <f ca="1">IFERROR(__xludf.DUMMYFUNCTION("IMPORTRANGE(""https://docs.google.com/spreadsheets/d/1IYY_tgx_IHuhSq3AJ5eI5OnqOPBNLWSHKh2a30DoXe8/edit?usp=sharing"",""สตูล!J530"")"),15)</f>
        <v>15</v>
      </c>
      <c r="K635" s="493">
        <f t="shared" ca="1" si="129"/>
        <v>166.66666666666666</v>
      </c>
      <c r="L635" s="493"/>
      <c r="M635" s="493"/>
      <c r="N635" s="493"/>
      <c r="O635" s="519"/>
      <c r="P635" s="519"/>
    </row>
    <row r="636" spans="1:16" ht="21.75" customHeight="1" x14ac:dyDescent="0.3">
      <c r="A636" s="520"/>
      <c r="B636" s="599" t="s">
        <v>237</v>
      </c>
      <c r="C636" s="600"/>
      <c r="D636" s="600"/>
      <c r="E636" s="600"/>
      <c r="F636" s="600"/>
      <c r="G636" s="600"/>
      <c r="H636" s="521"/>
      <c r="I636" s="521"/>
      <c r="J636" s="521"/>
      <c r="K636" s="522"/>
      <c r="L636" s="523">
        <f ca="1">SUM(L637,L638)</f>
        <v>0</v>
      </c>
      <c r="M636" s="524"/>
      <c r="N636" s="523">
        <f ca="1">SUM(N637:N638)</f>
        <v>0</v>
      </c>
      <c r="O636" s="523">
        <f t="shared" ref="O636:O640" ca="1" si="130">+IF(L636&gt;0,N636*100/L636,0)</f>
        <v>0</v>
      </c>
      <c r="P636" s="523"/>
    </row>
    <row r="637" spans="1:16" ht="21.75" customHeight="1" x14ac:dyDescent="0.3">
      <c r="A637" s="525"/>
      <c r="B637" s="526"/>
      <c r="C637" s="527" t="s">
        <v>16</v>
      </c>
      <c r="D637" s="601" t="s">
        <v>77</v>
      </c>
      <c r="E637" s="575"/>
      <c r="F637" s="575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130"/>
        <v>0</v>
      </c>
      <c r="P637" s="535"/>
    </row>
    <row r="638" spans="1:16" ht="21.75" customHeight="1" x14ac:dyDescent="0.3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0</v>
      </c>
      <c r="M638" s="534"/>
      <c r="N638" s="535">
        <f ca="1">SUM(N639:N640)</f>
        <v>0</v>
      </c>
      <c r="O638" s="535">
        <f t="shared" ca="1" si="130"/>
        <v>0</v>
      </c>
      <c r="P638" s="535"/>
    </row>
    <row r="639" spans="1:16" ht="21.75" customHeight="1" x14ac:dyDescent="0.3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130"/>
        <v>0</v>
      </c>
      <c r="P639" s="535"/>
    </row>
    <row r="640" spans="1:16" ht="21.75" customHeight="1" x14ac:dyDescent="0.3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0</v>
      </c>
      <c r="M640" s="534"/>
      <c r="N640" s="535">
        <f ca="1">SUM(N641:N644)</f>
        <v>0</v>
      </c>
      <c r="O640" s="535">
        <f t="shared" ca="1" si="130"/>
        <v>0</v>
      </c>
      <c r="P640" s="535"/>
    </row>
    <row r="641" spans="1:16" ht="21.75" customHeight="1" x14ac:dyDescent="0.3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3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3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3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0</v>
      </c>
      <c r="O644" s="537"/>
      <c r="P644" s="537"/>
    </row>
    <row r="645" spans="1:16" ht="21.75" customHeight="1" x14ac:dyDescent="0.3">
      <c r="A645" s="539"/>
      <c r="B645" s="540"/>
      <c r="C645" s="527" t="s">
        <v>16</v>
      </c>
      <c r="D645" s="602" t="s">
        <v>242</v>
      </c>
      <c r="E645" s="575"/>
      <c r="F645" s="575"/>
      <c r="G645" s="575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3">
      <c r="A646" s="539"/>
      <c r="B646" s="540"/>
      <c r="C646" s="540"/>
      <c r="D646" s="541">
        <v>1</v>
      </c>
      <c r="E646" s="603" t="s">
        <v>44</v>
      </c>
      <c r="F646" s="575"/>
      <c r="G646" s="575"/>
      <c r="H646" s="536"/>
      <c r="I646" s="542"/>
      <c r="J646" s="543">
        <f ca="1">IFERROR(__xludf.DUMMYFUNCTION("IMPORTRANGE(""https://docs.google.com/spreadsheets/d/1IYY_tgx_IHuhSq3AJ5eI5OnqOPBNLWSHKh2a30DoXe8/edit?usp=sharing"",""สตูล!J541"")"),0)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3">
      <c r="A647" s="539"/>
      <c r="B647" s="540"/>
      <c r="C647" s="540"/>
      <c r="D647" s="545">
        <v>2</v>
      </c>
      <c r="E647" s="604" t="s">
        <v>243</v>
      </c>
      <c r="F647" s="575"/>
      <c r="G647" s="575"/>
      <c r="H647" s="536"/>
      <c r="I647" s="542"/>
      <c r="J647" s="543">
        <f ca="1">IFERROR(__xludf.DUMMYFUNCTION("IMPORTRANGE(""https://docs.google.com/spreadsheets/d/1IYY_tgx_IHuhSq3AJ5eI5OnqOPBNLWSHKh2a30DoXe8/edit?usp=sharing"",""สตูล!J542"")"),0)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3">
      <c r="A648" s="525"/>
      <c r="B648" s="526"/>
      <c r="C648" s="526"/>
      <c r="D648" s="526"/>
      <c r="E648" s="526"/>
      <c r="F648" s="598" t="s">
        <v>244</v>
      </c>
      <c r="G648" s="575"/>
      <c r="H648" s="529" t="s">
        <v>122</v>
      </c>
      <c r="I648" s="546">
        <f ca="1">IFERROR(__xludf.DUMMYFUNCTION("IMPORTRANGE(""https://docs.google.com/spreadsheets/d/1IYY_tgx_IHuhSq3AJ5eI5OnqOPBNLWSHKh2a30DoXe8/edit?usp=sharing"",""สตูล!I543"")"),0)</f>
        <v>0</v>
      </c>
      <c r="J648" s="547">
        <f ca="1">IFERROR(__xludf.DUMMYFUNCTION("IMPORTRANGE(""https://docs.google.com/spreadsheets/d/1IYY_tgx_IHuhSq3AJ5eI5OnqOPBNLWSHKh2a30DoXe8/edit?usp=sharing"",""สตูล!J543"")"),0)</f>
        <v>0</v>
      </c>
      <c r="K648" s="548">
        <f t="shared" ref="K648:K651" ca="1" si="131">IF(I648&gt;0,J648*100/I648,0)</f>
        <v>0</v>
      </c>
      <c r="L648" s="535">
        <f ca="1">IFERROR(__xludf.DUMMYFUNCTION("IMPORTRANGE(""https://docs.google.com/spreadsheets/d/1IYY_tgx_IHuhSq3AJ5eI5OnqOPBNLWSHKh2a30DoXe8/edit?usp=sharing"",""สตูล!L543"")"),0)</f>
        <v>0</v>
      </c>
      <c r="M648" s="534"/>
      <c r="N648" s="549">
        <f ca="1">IFERROR(__xludf.DUMMYFUNCTION("IMPORTRANGE(""https://docs.google.com/spreadsheets/d/1IYY_tgx_IHuhSq3AJ5eI5OnqOPBNLWSHKh2a30DoXe8/edit?usp=sharing"",""สตูล!M543"")"),0)</f>
        <v>0</v>
      </c>
      <c r="O648" s="548">
        <f t="shared" ref="O648:O651" ca="1" si="132">IF(L648&gt;0,N648*100/L648,0)</f>
        <v>0</v>
      </c>
      <c r="P648" s="548"/>
    </row>
    <row r="649" spans="1:16" ht="21.75" customHeight="1" x14ac:dyDescent="0.3">
      <c r="A649" s="525"/>
      <c r="B649" s="526"/>
      <c r="C649" s="526"/>
      <c r="D649" s="526"/>
      <c r="E649" s="526"/>
      <c r="F649" s="598" t="s">
        <v>245</v>
      </c>
      <c r="G649" s="575"/>
      <c r="H649" s="529" t="s">
        <v>37</v>
      </c>
      <c r="I649" s="546">
        <f ca="1">IFERROR(__xludf.DUMMYFUNCTION("IMPORTRANGE(""https://docs.google.com/spreadsheets/d/1IYY_tgx_IHuhSq3AJ5eI5OnqOPBNLWSHKh2a30DoXe8/edit?usp=sharing"",""สตูล!I544"")"),0)</f>
        <v>0</v>
      </c>
      <c r="J649" s="547">
        <f ca="1">IFERROR(__xludf.DUMMYFUNCTION("IMPORTRANGE(""https://docs.google.com/spreadsheets/d/1IYY_tgx_IHuhSq3AJ5eI5OnqOPBNLWSHKh2a30DoXe8/edit?usp=sharing"",""สตูล!J544"")"),0)</f>
        <v>0</v>
      </c>
      <c r="K649" s="548">
        <f t="shared" ca="1" si="131"/>
        <v>0</v>
      </c>
      <c r="L649" s="535">
        <f ca="1">IFERROR(__xludf.DUMMYFUNCTION("IMPORTRANGE(""https://docs.google.com/spreadsheets/d/1IYY_tgx_IHuhSq3AJ5eI5OnqOPBNLWSHKh2a30DoXe8/edit?usp=sharing"",""สตูล!L544"")"),0)</f>
        <v>0</v>
      </c>
      <c r="M649" s="534"/>
      <c r="N649" s="549">
        <f ca="1">IFERROR(__xludf.DUMMYFUNCTION("IMPORTRANGE(""https://docs.google.com/spreadsheets/d/1IYY_tgx_IHuhSq3AJ5eI5OnqOPBNLWSHKh2a30DoXe8/edit?usp=sharing"",""สตูล!M544"")"),0)</f>
        <v>0</v>
      </c>
      <c r="O649" s="548">
        <f t="shared" ca="1" si="132"/>
        <v>0</v>
      </c>
      <c r="P649" s="548"/>
    </row>
    <row r="650" spans="1:16" ht="21.75" customHeight="1" x14ac:dyDescent="0.3">
      <c r="A650" s="525"/>
      <c r="B650" s="526"/>
      <c r="C650" s="526"/>
      <c r="D650" s="526"/>
      <c r="E650" s="526"/>
      <c r="F650" s="598" t="s">
        <v>246</v>
      </c>
      <c r="G650" s="575"/>
      <c r="H650" s="529" t="s">
        <v>122</v>
      </c>
      <c r="I650" s="546">
        <f ca="1">IFERROR(__xludf.DUMMYFUNCTION("IMPORTRANGE(""https://docs.google.com/spreadsheets/d/1IYY_tgx_IHuhSq3AJ5eI5OnqOPBNLWSHKh2a30DoXe8/edit?usp=sharing"",""สตูล!I545"")"),0)</f>
        <v>0</v>
      </c>
      <c r="J650" s="547">
        <f ca="1">IFERROR(__xludf.DUMMYFUNCTION("IMPORTRANGE(""https://docs.google.com/spreadsheets/d/1IYY_tgx_IHuhSq3AJ5eI5OnqOPBNLWSHKh2a30DoXe8/edit?usp=sharing"",""สตูล!J545"")"),0)</f>
        <v>0</v>
      </c>
      <c r="K650" s="548">
        <f t="shared" ca="1" si="131"/>
        <v>0</v>
      </c>
      <c r="L650" s="535">
        <f ca="1">IFERROR(__xludf.DUMMYFUNCTION("IMPORTRANGE(""https://docs.google.com/spreadsheets/d/1IYY_tgx_IHuhSq3AJ5eI5OnqOPBNLWSHKh2a30DoXe8/edit?usp=sharing"",""สตูล!L545"")"),0)</f>
        <v>0</v>
      </c>
      <c r="M650" s="534"/>
      <c r="N650" s="549">
        <f ca="1">IFERROR(__xludf.DUMMYFUNCTION("IMPORTRANGE(""https://docs.google.com/spreadsheets/d/1IYY_tgx_IHuhSq3AJ5eI5OnqOPBNLWSHKh2a30DoXe8/edit?usp=sharing"",""สตูล!M545"")"),0)</f>
        <v>0</v>
      </c>
      <c r="O650" s="548">
        <f t="shared" ca="1" si="132"/>
        <v>0</v>
      </c>
      <c r="P650" s="548"/>
    </row>
    <row r="651" spans="1:16" ht="21.75" customHeight="1" x14ac:dyDescent="0.3">
      <c r="A651" s="525"/>
      <c r="B651" s="526"/>
      <c r="C651" s="526"/>
      <c r="D651" s="526"/>
      <c r="E651" s="526"/>
      <c r="F651" s="598" t="s">
        <v>247</v>
      </c>
      <c r="G651" s="575"/>
      <c r="H651" s="529" t="s">
        <v>122</v>
      </c>
      <c r="I651" s="546">
        <f ca="1">IFERROR(__xludf.DUMMYFUNCTION("IMPORTRANGE(""https://docs.google.com/spreadsheets/d/1IYY_tgx_IHuhSq3AJ5eI5OnqOPBNLWSHKh2a30DoXe8/edit?usp=sharing"",""สตูล!I546"")"),0)</f>
        <v>0</v>
      </c>
      <c r="J651" s="547">
        <f ca="1">J657+J660</f>
        <v>0</v>
      </c>
      <c r="K651" s="548">
        <f t="shared" ca="1" si="131"/>
        <v>0</v>
      </c>
      <c r="L651" s="535">
        <f ca="1">IFERROR(__xludf.DUMMYFUNCTION("IMPORTRANGE(""https://docs.google.com/spreadsheets/d/1IYY_tgx_IHuhSq3AJ5eI5OnqOPBNLWSHKh2a30DoXe8/edit?usp=sharing"",""สตูล!L546"")"),0)</f>
        <v>0</v>
      </c>
      <c r="M651" s="534"/>
      <c r="N651" s="549">
        <f ca="1">IFERROR(__xludf.DUMMYFUNCTION("IMPORTRANGE(""https://docs.google.com/spreadsheets/d/1IYY_tgx_IHuhSq3AJ5eI5OnqOPBNLWSHKh2a30DoXe8/edit?usp=sharing"",""สตูล!M546"")"),0)</f>
        <v>0</v>
      </c>
      <c r="O651" s="548">
        <f t="shared" ca="1" si="132"/>
        <v>0</v>
      </c>
      <c r="P651" s="548"/>
    </row>
    <row r="652" spans="1:16" ht="21.75" customHeight="1" x14ac:dyDescent="0.3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IFERROR(__xludf.DUMMYFUNCTION("IMPORTRANGE(""https://docs.google.com/spreadsheets/d/1IYY_tgx_IHuhSq3AJ5eI5OnqOPBNLWSHKh2a30DoXe8/edit?usp=sharing"",""สตูล!J547"")"),0)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3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IFERROR(__xludf.DUMMYFUNCTION("IMPORTRANGE(""https://docs.google.com/spreadsheets/d/1IYY_tgx_IHuhSq3AJ5eI5OnqOPBNLWSHKh2a30DoXe8/edit?usp=sharing"",""สตูล!J548"")"),0)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3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3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IFERROR(__xludf.DUMMYFUNCTION("IMPORTRANGE(""https://docs.google.com/spreadsheets/d/1IYY_tgx_IHuhSq3AJ5eI5OnqOPBNLWSHKh2a30DoXe8/edit?usp=sharing"",""สตูล!J550"")"),0)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3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IFERROR(__xludf.DUMMYFUNCTION("IMPORTRANGE(""https://docs.google.com/spreadsheets/d/1IYY_tgx_IHuhSq3AJ5eI5OnqOPBNLWSHKh2a30DoXe8/edit?usp=sharing"",""สตูล!J551"")"),0)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3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IFERROR(__xludf.DUMMYFUNCTION("IMPORTRANGE(""https://docs.google.com/spreadsheets/d/1IYY_tgx_IHuhSq3AJ5eI5OnqOPBNLWSHKh2a30DoXe8/edit?usp=sharing"",""สตูล!J552"")"),0)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3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IFERROR(__xludf.DUMMYFUNCTION("IMPORTRANGE(""https://docs.google.com/spreadsheets/d/1IYY_tgx_IHuhSq3AJ5eI5OnqOPBNLWSHKh2a30DoXe8/edit?usp=sharing"",""สตูล!J553"")"),0)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3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IFERROR(__xludf.DUMMYFUNCTION("IMPORTRANGE(""https://docs.google.com/spreadsheets/d/1IYY_tgx_IHuhSq3AJ5eI5OnqOPBNLWSHKh2a30DoXe8/edit?usp=sharing"",""สตูล!J554"")"),0)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3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IFERROR(__xludf.DUMMYFUNCTION("IMPORTRANGE(""https://docs.google.com/spreadsheets/d/1IYY_tgx_IHuhSq3AJ5eI5OnqOPBNLWSHKh2a30DoXe8/edit?usp=sharing"",""สตูล!J555"")"),0)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3">
      <c r="A661" s="525"/>
      <c r="B661" s="526"/>
      <c r="C661" s="526"/>
      <c r="D661" s="526"/>
      <c r="E661" s="526"/>
      <c r="F661" s="598" t="s">
        <v>252</v>
      </c>
      <c r="G661" s="575"/>
      <c r="H661" s="529" t="s">
        <v>37</v>
      </c>
      <c r="I661" s="550"/>
      <c r="J661" s="547">
        <f ca="1">IFERROR(__xludf.DUMMYFUNCTION("IMPORTRANGE(""https://docs.google.com/spreadsheets/d/1IYY_tgx_IHuhSq3AJ5eI5OnqOPBNLWSHKh2a30DoXe8/edit?usp=sharing"",""สตูล!J556"")"),0)</f>
        <v>0</v>
      </c>
      <c r="K661" s="548"/>
      <c r="L661" s="535">
        <f ca="1">IFERROR(__xludf.DUMMYFUNCTION("IMPORTRANGE(""https://docs.google.com/spreadsheets/d/1IYY_tgx_IHuhSq3AJ5eI5OnqOPBNLWSHKh2a30DoXe8/edit?usp=sharing"",""สตูล!L556"")"),0)</f>
        <v>0</v>
      </c>
      <c r="M661" s="534"/>
      <c r="N661" s="549">
        <f ca="1">IFERROR(__xludf.DUMMYFUNCTION("IMPORTRANGE(""https://docs.google.com/spreadsheets/d/1IYY_tgx_IHuhSq3AJ5eI5OnqOPBNLWSHKh2a30DoXe8/edit?usp=sharing"",""สตูล!M556"")"),0)</f>
        <v>0</v>
      </c>
      <c r="O661" s="548">
        <f ca="1">IF(L661&gt;0,N661*100/L661,0)</f>
        <v>0</v>
      </c>
      <c r="P661" s="548"/>
    </row>
    <row r="662" spans="1:16" ht="21.75" customHeight="1" x14ac:dyDescent="0.3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IFERROR(__xludf.DUMMYFUNCTION("IMPORTRANGE(""https://docs.google.com/spreadsheets/d/1IYY_tgx_IHuhSq3AJ5eI5OnqOPBNLWSHKh2a30DoXe8/edit?usp=sharing"",""สตูล!J557"")"),0)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3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IFERROR(__xludf.DUMMYFUNCTION("IMPORTRANGE(""https://docs.google.com/spreadsheets/d/1IYY_tgx_IHuhSq3AJ5eI5OnqOPBNLWSHKh2a30DoXe8/edit?usp=sharing"",""สตูล!I558"")"),0)</f>
        <v>0</v>
      </c>
      <c r="J663" s="547">
        <f ca="1">IFERROR(__xludf.DUMMYFUNCTION("IMPORTRANGE(""https://docs.google.com/spreadsheets/d/1IYY_tgx_IHuhSq3AJ5eI5OnqOPBNLWSHKh2a30DoXe8/edit?usp=sharing"",""สตูล!J558"")"),0)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3">
      <c r="A664" s="525"/>
      <c r="B664" s="526"/>
      <c r="C664" s="526"/>
      <c r="D664" s="526"/>
      <c r="E664" s="526"/>
      <c r="F664" s="598" t="s">
        <v>253</v>
      </c>
      <c r="G664" s="575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3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IFERROR(__xludf.DUMMYFUNCTION("IMPORTRANGE(""https://docs.google.com/spreadsheets/d/1IYY_tgx_IHuhSq3AJ5eI5OnqOPBNLWSHKh2a30DoXe8/edit?usp=sharing"",""สตูล!I560"")"),0)</f>
        <v>0</v>
      </c>
      <c r="J665" s="547">
        <f ca="1">IFERROR(__xludf.DUMMYFUNCTION("IMPORTRANGE(""https://docs.google.com/spreadsheets/d/1IYY_tgx_IHuhSq3AJ5eI5OnqOPBNLWSHKh2a30DoXe8/edit?usp=sharing"",""สตูล!J560"")"),0)</f>
        <v>0</v>
      </c>
      <c r="K665" s="548">
        <f ca="1">IF(I665&gt;0,J665*100/I665,0)</f>
        <v>0</v>
      </c>
      <c r="L665" s="535">
        <f ca="1">IFERROR(__xludf.DUMMYFUNCTION("IMPORTRANGE(""https://docs.google.com/spreadsheets/d/1IYY_tgx_IHuhSq3AJ5eI5OnqOPBNLWSHKh2a30DoXe8/edit?usp=sharing"",""สตูล!L560"")"),0)</f>
        <v>0</v>
      </c>
      <c r="M665" s="534"/>
      <c r="N665" s="549">
        <f ca="1">IFERROR(__xludf.DUMMYFUNCTION("IMPORTRANGE(""https://docs.google.com/spreadsheets/d/1IYY_tgx_IHuhSq3AJ5eI5OnqOPBNLWSHKh2a30DoXe8/edit?usp=sharing"",""สตูล!M560"")"),0)</f>
        <v>0</v>
      </c>
      <c r="O665" s="548">
        <f ca="1">IF(L665&gt;0,N665*100/L665,0)</f>
        <v>0</v>
      </c>
      <c r="P665" s="548"/>
    </row>
    <row r="666" spans="1:16" ht="21.75" customHeight="1" x14ac:dyDescent="0.3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IFERROR(__xludf.DUMMYFUNCTION("IMPORTRANGE(""https://docs.google.com/spreadsheets/d/1IYY_tgx_IHuhSq3AJ5eI5OnqOPBNLWSHKh2a30DoXe8/edit?usp=sharing"",""สตูล!J561"")"),0)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3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IFERROR(__xludf.DUMMYFUNCTION("IMPORTRANGE(""https://docs.google.com/spreadsheets/d/1IYY_tgx_IHuhSq3AJ5eI5OnqOPBNLWSHKh2a30DoXe8/edit?usp=sharing"",""สตูล!J562"")"),0)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3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IFERROR(__xludf.DUMMYFUNCTION("IMPORTRANGE(""https://docs.google.com/spreadsheets/d/1IYY_tgx_IHuhSq3AJ5eI5OnqOPBNLWSHKh2a30DoXe8/edit?usp=sharing"",""สตูล!I563"")"),0)</f>
        <v>0</v>
      </c>
      <c r="J668" s="547">
        <f ca="1">IFERROR(__xludf.DUMMYFUNCTION("IMPORTRANGE(""https://docs.google.com/spreadsheets/d/1IYY_tgx_IHuhSq3AJ5eI5OnqOPBNLWSHKh2a30DoXe8/edit?usp=sharing"",""สตูล!J563"")"),0)</f>
        <v>0</v>
      </c>
      <c r="K668" s="548">
        <f ca="1">IF(I668&gt;0,J668*100/I668,0)</f>
        <v>0</v>
      </c>
      <c r="L668" s="535">
        <f ca="1">IFERROR(__xludf.DUMMYFUNCTION("IMPORTRANGE(""https://docs.google.com/spreadsheets/d/1IYY_tgx_IHuhSq3AJ5eI5OnqOPBNLWSHKh2a30DoXe8/edit?usp=sharing"",""สตูล!L563"")"),0)</f>
        <v>0</v>
      </c>
      <c r="M668" s="534"/>
      <c r="N668" s="549">
        <f ca="1">IFERROR(__xludf.DUMMYFUNCTION("IMPORTRANGE(""https://docs.google.com/spreadsheets/d/1IYY_tgx_IHuhSq3AJ5eI5OnqOPBNLWSHKh2a30DoXe8/edit?usp=sharing"",""สตูล!M563"")"),0)</f>
        <v>0</v>
      </c>
      <c r="O668" s="548">
        <f ca="1">IF(L668&gt;0,N668*100/L668,0)</f>
        <v>0</v>
      </c>
      <c r="P668" s="548"/>
    </row>
    <row r="669" spans="1:16" ht="21.75" customHeight="1" x14ac:dyDescent="0.3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IFERROR(__xludf.DUMMYFUNCTION("IMPORTRANGE(""https://docs.google.com/spreadsheets/d/1IYY_tgx_IHuhSq3AJ5eI5OnqOPBNLWSHKh2a30DoXe8/edit?usp=sharing"",""สตูล!J564"")"),0)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3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IFERROR(__xludf.DUMMYFUNCTION("IMPORTRANGE(""https://docs.google.com/spreadsheets/d/1IYY_tgx_IHuhSq3AJ5eI5OnqOPBNLWSHKh2a30DoXe8/edit?usp=sharing"",""สตูล!J565"")"),0)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3">
      <c r="A671" s="525"/>
      <c r="B671" s="526"/>
      <c r="C671" s="526"/>
      <c r="D671" s="526"/>
      <c r="E671" s="526"/>
      <c r="F671" s="598" t="s">
        <v>256</v>
      </c>
      <c r="G671" s="575"/>
      <c r="H671" s="529" t="s">
        <v>122</v>
      </c>
      <c r="I671" s="546">
        <f ca="1">IFERROR(__xludf.DUMMYFUNCTION("IMPORTRANGE(""https://docs.google.com/spreadsheets/d/1IYY_tgx_IHuhSq3AJ5eI5OnqOPBNLWSHKh2a30DoXe8/edit?usp=sharing"",""สตูล!I566"")"),0)</f>
        <v>0</v>
      </c>
      <c r="J671" s="547">
        <f ca="1">J674+J677</f>
        <v>0</v>
      </c>
      <c r="K671" s="548">
        <f ca="1">IF(I671&gt;0,J671*100/I671,0)</f>
        <v>0</v>
      </c>
      <c r="L671" s="535">
        <f ca="1">IFERROR(__xludf.DUMMYFUNCTION("IMPORTRANGE(""https://docs.google.com/spreadsheets/d/1IYY_tgx_IHuhSq3AJ5eI5OnqOPBNLWSHKh2a30DoXe8/edit?usp=sharing"",""สตูล!L566"")"),0)</f>
        <v>0</v>
      </c>
      <c r="M671" s="534"/>
      <c r="N671" s="549">
        <f ca="1">IFERROR(__xludf.DUMMYFUNCTION("IMPORTRANGE(""https://docs.google.com/spreadsheets/d/1IYY_tgx_IHuhSq3AJ5eI5OnqOPBNLWSHKh2a30DoXe8/edit?usp=sharing"",""สตูล!M566"")"),0)</f>
        <v>0</v>
      </c>
      <c r="O671" s="548">
        <f ca="1">IF(L671&gt;0,N671*100/L671,0)</f>
        <v>0</v>
      </c>
      <c r="P671" s="548"/>
    </row>
    <row r="672" spans="1:16" ht="21.75" customHeight="1" x14ac:dyDescent="0.3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IFERROR(__xludf.DUMMYFUNCTION("IMPORTRANGE(""https://docs.google.com/spreadsheets/d/1IYY_tgx_IHuhSq3AJ5eI5OnqOPBNLWSHKh2a30DoXe8/edit?usp=sharing"",""สตูล!J567"")"),0)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3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IFERROR(__xludf.DUMMYFUNCTION("IMPORTRANGE(""https://docs.google.com/spreadsheets/d/1IYY_tgx_IHuhSq3AJ5eI5OnqOPBNLWSHKh2a30DoXe8/edit?usp=sharing"",""สตูล!J568"")"),0)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3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IFERROR(__xludf.DUMMYFUNCTION("IMPORTRANGE(""https://docs.google.com/spreadsheets/d/1IYY_tgx_IHuhSq3AJ5eI5OnqOPBNLWSHKh2a30DoXe8/edit?usp=sharing"",""สตูล!J569"")"),0)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3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IFERROR(__xludf.DUMMYFUNCTION("IMPORTRANGE(""https://docs.google.com/spreadsheets/d/1IYY_tgx_IHuhSq3AJ5eI5OnqOPBNLWSHKh2a30DoXe8/edit?usp=sharing"",""สตูล!J570"")"),0)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3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IFERROR(__xludf.DUMMYFUNCTION("IMPORTRANGE(""https://docs.google.com/spreadsheets/d/1IYY_tgx_IHuhSq3AJ5eI5OnqOPBNLWSHKh2a30DoXe8/edit?usp=sharing"",""สตูล!J571"")"),0)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3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IFERROR(__xludf.DUMMYFUNCTION("IMPORTRANGE(""https://docs.google.com/spreadsheets/d/1IYY_tgx_IHuhSq3AJ5eI5OnqOPBNLWSHKh2a30DoXe8/edit?usp=sharing"",""สตูล!J572"")"),0)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2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2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2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2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2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2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2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2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2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2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2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2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2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2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2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2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2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2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2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2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2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2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2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2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2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2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2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2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2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2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2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2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2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2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2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2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2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2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2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2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2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2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2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2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2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2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2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2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2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2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2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2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2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2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2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2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2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2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2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2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2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2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2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2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2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2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2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2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2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2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2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2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2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2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2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2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2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2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2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2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2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2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2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2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2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2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2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2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2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2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2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2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2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2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2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2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2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2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2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2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2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2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2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2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2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2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2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2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2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2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2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2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2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2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2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2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2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2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2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2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2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2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2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2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2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2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2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2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2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2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2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2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2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2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2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2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2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2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2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2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2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2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2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2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2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2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2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2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2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2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2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2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2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2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2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2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2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2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2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2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2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2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2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2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2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2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2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2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2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2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2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2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2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2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2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2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2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2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2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2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2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2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2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2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2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2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2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2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2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2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2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2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2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2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2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2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2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2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2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2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2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2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2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2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2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2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2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2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2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2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2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2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2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2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2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2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2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2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2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2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2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2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2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2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2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2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2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2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2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2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2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2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2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2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2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2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2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2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2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2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2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2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2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2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2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2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2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2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2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2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2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2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2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2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2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2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2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2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2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2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2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2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2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2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2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2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2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2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2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2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2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2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2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2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2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2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2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2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2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2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2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2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2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2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2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2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2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2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2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2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2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2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2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2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2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2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2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2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2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2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2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2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2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2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2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2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2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2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2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2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2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2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2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2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2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2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2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2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2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2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2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2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2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2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2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2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2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2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2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2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2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2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2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2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2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2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2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2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2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2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2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2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2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2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2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2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2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2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2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2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2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2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2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2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2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2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2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2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2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2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2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2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2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2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2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2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2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2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2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2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2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2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2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2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2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2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2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2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2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2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2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2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2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2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2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2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2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2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2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2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2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2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2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2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2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2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2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2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2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2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2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2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2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2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2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2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2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2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2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2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2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2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2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2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2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2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2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2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2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2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2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2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2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2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2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2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2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2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2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2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2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2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2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2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2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2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2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2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2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2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2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2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2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2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2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2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2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2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2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2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2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2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2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2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2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2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2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2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2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2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2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2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2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2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2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2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19685039370078741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32" max="16383" man="1"/>
    <brk id="626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86" t="s">
        <v>0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  <c r="N1" s="586"/>
      <c r="O1" s="586"/>
      <c r="P1" s="586"/>
    </row>
    <row r="2" spans="1:16" ht="18" customHeight="1" x14ac:dyDescent="0.25">
      <c r="A2" s="586" t="s">
        <v>288</v>
      </c>
      <c r="B2" s="586"/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86"/>
      <c r="P2" s="586"/>
    </row>
    <row r="3" spans="1:16" ht="18" customHeight="1" x14ac:dyDescent="0.25">
      <c r="A3" s="586" t="s">
        <v>290</v>
      </c>
      <c r="B3" s="586"/>
      <c r="C3" s="586"/>
      <c r="D3" s="586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  <c r="P3" s="586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2" t="s">
        <v>2</v>
      </c>
      <c r="B5" s="593"/>
      <c r="C5" s="593"/>
      <c r="D5" s="593"/>
      <c r="E5" s="593"/>
      <c r="F5" s="593"/>
      <c r="G5" s="594"/>
      <c r="H5" s="587" t="s">
        <v>3</v>
      </c>
      <c r="I5" s="589" t="s">
        <v>4</v>
      </c>
      <c r="J5" s="580"/>
      <c r="K5" s="581"/>
      <c r="L5" s="590" t="s">
        <v>5</v>
      </c>
      <c r="M5" s="581"/>
      <c r="N5" s="591" t="s">
        <v>6</v>
      </c>
      <c r="O5" s="580"/>
      <c r="P5" s="581"/>
    </row>
    <row r="6" spans="1:16" ht="21.75" customHeight="1" x14ac:dyDescent="0.25">
      <c r="A6" s="595"/>
      <c r="B6" s="596"/>
      <c r="C6" s="596"/>
      <c r="D6" s="596"/>
      <c r="E6" s="596"/>
      <c r="F6" s="596"/>
      <c r="G6" s="597"/>
      <c r="H6" s="58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5" t="s">
        <v>15</v>
      </c>
      <c r="B7" s="580"/>
      <c r="C7" s="580"/>
      <c r="D7" s="580"/>
      <c r="E7" s="580"/>
      <c r="F7" s="580"/>
      <c r="G7" s="58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4" t="s">
        <v>17</v>
      </c>
      <c r="E8" s="573"/>
      <c r="F8" s="573"/>
      <c r="G8" s="573"/>
      <c r="H8" s="20" t="s">
        <v>12</v>
      </c>
      <c r="I8" s="21"/>
      <c r="J8" s="21"/>
      <c r="K8" s="22"/>
      <c r="L8" s="23">
        <f t="shared" ref="L8:N8" ca="1" si="0">L9+L10</f>
        <v>7085808</v>
      </c>
      <c r="M8" s="23">
        <f t="shared" ca="1" si="0"/>
        <v>4390972</v>
      </c>
      <c r="N8" s="23">
        <f t="shared" ca="1" si="0"/>
        <v>5589060.0899999999</v>
      </c>
      <c r="O8" s="22">
        <f t="shared" ref="O8:O16" ca="1" si="1">IF(L8&gt;0,N8*100/L8,0)</f>
        <v>78.876820963819512</v>
      </c>
      <c r="P8" s="22">
        <f t="shared" ref="P8:P16" ca="1" si="2">IF(M8&gt;0,N8*100/M8,0)</f>
        <v>127.28525916357472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7085808</v>
      </c>
      <c r="M10" s="30">
        <f t="shared" ca="1" si="4"/>
        <v>4390972</v>
      </c>
      <c r="N10" s="30">
        <f t="shared" ca="1" si="4"/>
        <v>5589060.0899999999</v>
      </c>
      <c r="O10" s="29">
        <f t="shared" ca="1" si="1"/>
        <v>78.876820963819512</v>
      </c>
      <c r="P10" s="29">
        <f t="shared" ca="1" si="2"/>
        <v>127.28525916357472</v>
      </c>
    </row>
    <row r="11" spans="1:16" ht="21.75" customHeight="1" x14ac:dyDescent="0.3">
      <c r="A11" s="31"/>
      <c r="B11" s="32"/>
      <c r="C11" s="33" t="s">
        <v>16</v>
      </c>
      <c r="D11" s="574" t="s">
        <v>20</v>
      </c>
      <c r="E11" s="575"/>
      <c r="F11" s="57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6937008</v>
      </c>
      <c r="M12" s="38">
        <f t="shared" ca="1" si="6"/>
        <v>4242172</v>
      </c>
      <c r="N12" s="38">
        <f t="shared" ca="1" si="6"/>
        <v>5440260.0899999999</v>
      </c>
      <c r="O12" s="38">
        <f t="shared" ca="1" si="1"/>
        <v>78.423725185267187</v>
      </c>
      <c r="P12" s="38">
        <f t="shared" ca="1" si="2"/>
        <v>128.24232704378795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2453622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4483386</v>
      </c>
      <c r="M14" s="38">
        <f t="shared" si="8"/>
        <v>0</v>
      </c>
      <c r="N14" s="38">
        <f t="shared" ca="1" si="8"/>
        <v>1688444.1799999992</v>
      </c>
      <c r="O14" s="41">
        <f t="shared" ca="1" si="1"/>
        <v>37.660022581147352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4" t="s">
        <v>23</v>
      </c>
      <c r="E15" s="57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148800</v>
      </c>
      <c r="M16" s="38">
        <f t="shared" ca="1" si="10"/>
        <v>148800</v>
      </c>
      <c r="N16" s="38">
        <f t="shared" ca="1" si="10"/>
        <v>148800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85" t="s">
        <v>24</v>
      </c>
      <c r="B17" s="580"/>
      <c r="C17" s="580"/>
      <c r="D17" s="580"/>
      <c r="E17" s="580"/>
      <c r="F17" s="580"/>
      <c r="G17" s="58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4" t="s">
        <v>17</v>
      </c>
      <c r="E18" s="573"/>
      <c r="F18" s="573"/>
      <c r="G18" s="573"/>
      <c r="H18" s="20" t="s">
        <v>12</v>
      </c>
      <c r="I18" s="21"/>
      <c r="J18" s="21"/>
      <c r="K18" s="22"/>
      <c r="L18" s="23">
        <f t="shared" ref="L18:N18" ca="1" si="11">L19+L20</f>
        <v>4331972</v>
      </c>
      <c r="M18" s="23">
        <f t="shared" ca="1" si="11"/>
        <v>4390972</v>
      </c>
      <c r="N18" s="23">
        <f t="shared" ca="1" si="11"/>
        <v>3900615.91</v>
      </c>
      <c r="O18" s="22">
        <f t="shared" ref="O18:O20" ca="1" si="12">IF(L18&gt;0,N18*100/L18,0)</f>
        <v>90.04250050554343</v>
      </c>
      <c r="P18" s="22">
        <f t="shared" ref="P18:P26" ca="1" si="13">IF(M18&gt;0,N18*100/M18,0)</f>
        <v>88.832629996274179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4331972</v>
      </c>
      <c r="M20" s="30">
        <f t="shared" ca="1" si="15"/>
        <v>4390972</v>
      </c>
      <c r="N20" s="30">
        <f t="shared" ca="1" si="15"/>
        <v>3900615.91</v>
      </c>
      <c r="O20" s="29">
        <f t="shared" ca="1" si="12"/>
        <v>90.04250050554343</v>
      </c>
      <c r="P20" s="29">
        <f t="shared" ca="1" si="13"/>
        <v>88.832629996274179</v>
      </c>
    </row>
    <row r="21" spans="1:16" ht="21.75" customHeight="1" x14ac:dyDescent="0.3">
      <c r="A21" s="31"/>
      <c r="B21" s="32"/>
      <c r="C21" s="33" t="s">
        <v>16</v>
      </c>
      <c r="D21" s="574" t="s">
        <v>20</v>
      </c>
      <c r="E21" s="575"/>
      <c r="F21" s="575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4183172</v>
      </c>
      <c r="M22" s="42">
        <f t="shared" ca="1" si="18"/>
        <v>4242172</v>
      </c>
      <c r="N22" s="41">
        <f t="shared" ca="1" si="18"/>
        <v>3751815.91</v>
      </c>
      <c r="O22" s="41">
        <f t="shared" ca="1" si="17"/>
        <v>89.688301365566602</v>
      </c>
      <c r="P22" s="41">
        <f t="shared" ca="1" si="13"/>
        <v>88.4409191800804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2453622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1729550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4" t="s">
        <v>23</v>
      </c>
      <c r="E25" s="575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148800</v>
      </c>
      <c r="M26" s="50">
        <f t="shared" ca="1" si="22"/>
        <v>148800</v>
      </c>
      <c r="N26" s="50">
        <f t="shared" ca="1" si="22"/>
        <v>148800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85" t="s">
        <v>25</v>
      </c>
      <c r="B27" s="580"/>
      <c r="C27" s="580"/>
      <c r="D27" s="580"/>
      <c r="E27" s="580"/>
      <c r="F27" s="580"/>
      <c r="G27" s="58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4" t="s">
        <v>17</v>
      </c>
      <c r="E28" s="573"/>
      <c r="F28" s="573"/>
      <c r="G28" s="573"/>
      <c r="H28" s="20" t="s">
        <v>12</v>
      </c>
      <c r="I28" s="21"/>
      <c r="J28" s="21"/>
      <c r="K28" s="22"/>
      <c r="L28" s="23">
        <f t="shared" ref="L28:N28" ca="1" si="23">L29+L30</f>
        <v>2753836</v>
      </c>
      <c r="M28" s="23">
        <f t="shared" si="23"/>
        <v>0</v>
      </c>
      <c r="N28" s="23">
        <f t="shared" ca="1" si="23"/>
        <v>1688444.1799999992</v>
      </c>
      <c r="O28" s="22">
        <f t="shared" ref="O28:O30" ca="1" si="24">IF(L28&gt;0,N28*100/L28,0)</f>
        <v>61.312444895048181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2753836</v>
      </c>
      <c r="M30" s="30">
        <f t="shared" si="27"/>
        <v>0</v>
      </c>
      <c r="N30" s="30">
        <f t="shared" ca="1" si="27"/>
        <v>1688444.1799999992</v>
      </c>
      <c r="O30" s="29">
        <f t="shared" ca="1" si="24"/>
        <v>61.312444895048181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4" t="s">
        <v>20</v>
      </c>
      <c r="E31" s="575"/>
      <c r="F31" s="575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2753836</v>
      </c>
      <c r="M32" s="41">
        <f t="shared" si="30"/>
        <v>0</v>
      </c>
      <c r="N32" s="41">
        <f t="shared" ca="1" si="30"/>
        <v>1688444.1799999992</v>
      </c>
      <c r="O32" s="41">
        <f t="shared" ca="1" si="29"/>
        <v>61.312444895048181</v>
      </c>
      <c r="P32" s="41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2753836</v>
      </c>
      <c r="M34" s="41">
        <f t="shared" si="32"/>
        <v>0</v>
      </c>
      <c r="N34" s="41">
        <f t="shared" ca="1" si="32"/>
        <v>1688444.1799999992</v>
      </c>
      <c r="O34" s="41">
        <f t="shared" ca="1" si="29"/>
        <v>61.312444895048181</v>
      </c>
      <c r="P34" s="41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4" t="s">
        <v>23</v>
      </c>
      <c r="E35" s="575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4331972</v>
      </c>
      <c r="M37" s="55">
        <f t="shared" ca="1" si="33"/>
        <v>4390972</v>
      </c>
      <c r="N37" s="55">
        <f t="shared" ca="1" si="33"/>
        <v>3900615.91</v>
      </c>
      <c r="O37" s="56">
        <f t="shared" ca="1" si="29"/>
        <v>90.04250050554343</v>
      </c>
      <c r="P37" s="56">
        <f t="shared" ca="1" si="25"/>
        <v>88.832629996274179</v>
      </c>
    </row>
    <row r="38" spans="1:16" ht="21.75" customHeight="1" x14ac:dyDescent="0.3">
      <c r="A38" s="579" t="s">
        <v>27</v>
      </c>
      <c r="B38" s="580"/>
      <c r="C38" s="580"/>
      <c r="D38" s="580"/>
      <c r="E38" s="580"/>
      <c r="F38" s="580"/>
      <c r="G38" s="581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82" t="s">
        <v>28</v>
      </c>
      <c r="C39" s="573"/>
      <c r="D39" s="573"/>
      <c r="E39" s="573"/>
      <c r="F39" s="573"/>
      <c r="G39" s="573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83" t="s">
        <v>17</v>
      </c>
      <c r="E41" s="575"/>
      <c r="F41" s="575"/>
      <c r="G41" s="575"/>
      <c r="H41" s="76" t="s">
        <v>12</v>
      </c>
      <c r="I41" s="77"/>
      <c r="J41" s="77"/>
      <c r="K41" s="78"/>
      <c r="L41" s="79">
        <f t="shared" ref="L41:N41" ca="1" si="34">L42+L43</f>
        <v>530800</v>
      </c>
      <c r="M41" s="79">
        <f t="shared" ca="1" si="34"/>
        <v>530800</v>
      </c>
      <c r="N41" s="79">
        <f t="shared" ca="1" si="34"/>
        <v>486620.19</v>
      </c>
      <c r="O41" s="78">
        <f t="shared" ref="O41:O43" ca="1" si="35">IF(L41&gt;0,N41*100/L41,0)</f>
        <v>91.676750188394877</v>
      </c>
      <c r="P41" s="78">
        <f t="shared" ref="P41:P43" ca="1" si="36">IF(M41&gt;0,N41*100/M41,0)</f>
        <v>91.676750188394877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530800</v>
      </c>
      <c r="M43" s="79">
        <f t="shared" ca="1" si="38"/>
        <v>530800</v>
      </c>
      <c r="N43" s="79">
        <f t="shared" ca="1" si="38"/>
        <v>486620.19</v>
      </c>
      <c r="O43" s="78">
        <f t="shared" ca="1" si="35"/>
        <v>91.676750188394877</v>
      </c>
      <c r="P43" s="78">
        <f t="shared" ca="1" si="36"/>
        <v>91.676750188394877</v>
      </c>
    </row>
    <row r="44" spans="1:16" ht="21.75" customHeight="1" x14ac:dyDescent="0.3">
      <c r="A44" s="80"/>
      <c r="B44" s="81"/>
      <c r="C44" s="82" t="s">
        <v>16</v>
      </c>
      <c r="D44" s="576" t="s">
        <v>20</v>
      </c>
      <c r="E44" s="575"/>
      <c r="F44" s="575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530800</v>
      </c>
      <c r="M45" s="91">
        <f ca="1">IFERROR(__xludf.DUMMYFUNCTION("IMPORTRANGE(""https://docs.google.com/spreadsheets/d/1Yj_ptqi66GCucihVvJfMjLAmec39IyEx_6qawtMGysU/edit?usp=sharing"",""สบก!Q94"")"),530800)</f>
        <v>530800</v>
      </c>
      <c r="N45" s="91">
        <f ca="1">IFERROR(__xludf.DUMMYFUNCTION("IMPORTRANGE(""https://docs.google.com/spreadsheets/d/1Yj_ptqi66GCucihVvJfMjLAmec39IyEx_6qawtMGysU/edit?usp=sharing"",""สบก!R94"")"),486620.19)</f>
        <v>486620.19</v>
      </c>
      <c r="O45" s="92">
        <f ca="1">IF(L45&gt;0,N45*100/L45,0)</f>
        <v>91.676750188394877</v>
      </c>
      <c r="P45" s="92">
        <f ca="1">IF(M45&gt;0,N45*100/M45,0)</f>
        <v>91.676750188394877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IFERROR(__xludf.DUMMYFUNCTION("IMPORTRANGE(""https://docs.google.com/spreadsheets/d/1Yj_ptqi66GCucihVvJfMjLAmec39IyEx_6qawtMGysU/edit?usp=sharing"",""สบก!M94"")"),530800)</f>
        <v>530800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IFERROR(__xludf.DUMMYFUNCTION("IMPORTRANGE(""https://docs.google.com/spreadsheets/d/1Yj_ptqi66GCucihVvJfMjLAmec39IyEx_6qawtMGysU/edit?usp=sharing"",""สบก!N94"")"),0)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6" t="s">
        <v>23</v>
      </c>
      <c r="E48" s="57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IFERROR(__xludf.DUMMYFUNCTION("IMPORTRANGE(""https://docs.google.com/spreadsheets/d/1Yj_ptqi66GCucihVvJfMjLAmec39IyEx_6qawtMGysU/edit?usp=sharing"",""สบก!O94"")"),0)</f>
        <v>0</v>
      </c>
      <c r="M49" s="101"/>
      <c r="N49" s="91">
        <f ca="1">IFERROR(__xludf.DUMMYFUNCTION("IMPORTRANGE(""https://docs.google.com/spreadsheets/d/1Yj_ptqi66GCucihVvJfMjLAmec39IyEx_6qawtMGysU/edit?usp=sharing"",""สบก!S94"")"),0)</f>
        <v>0</v>
      </c>
      <c r="O49" s="101">
        <f ca="1">IF(L49&gt;0,N49*100/L49,0)</f>
        <v>0</v>
      </c>
      <c r="P49" s="101"/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577" t="s">
        <v>32</v>
      </c>
      <c r="C52" s="575"/>
      <c r="D52" s="575"/>
      <c r="E52" s="575"/>
      <c r="F52" s="575"/>
      <c r="G52" s="575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578" t="s">
        <v>17</v>
      </c>
      <c r="E53" s="575"/>
      <c r="F53" s="575"/>
      <c r="G53" s="575"/>
      <c r="H53" s="122" t="s">
        <v>12</v>
      </c>
      <c r="I53" s="123"/>
      <c r="J53" s="123"/>
      <c r="K53" s="124"/>
      <c r="L53" s="125">
        <f t="shared" ref="L53:N53" ca="1" si="39">L54+L55</f>
        <v>735422</v>
      </c>
      <c r="M53" s="125">
        <f t="shared" ca="1" si="39"/>
        <v>735422</v>
      </c>
      <c r="N53" s="125">
        <f t="shared" ca="1" si="39"/>
        <v>671050</v>
      </c>
      <c r="O53" s="124">
        <f t="shared" ref="O53:O55" ca="1" si="40">IF(L53&gt;0,N53*100/L53,0)</f>
        <v>91.246930333876335</v>
      </c>
      <c r="P53" s="124">
        <f t="shared" ref="P53:P55" ca="1" si="41">IF(M53&gt;0,N53*100/M53,0)</f>
        <v>91.246930333876335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735422</v>
      </c>
      <c r="M55" s="125">
        <f t="shared" ca="1" si="43"/>
        <v>735422</v>
      </c>
      <c r="N55" s="125">
        <f t="shared" ca="1" si="43"/>
        <v>671050</v>
      </c>
      <c r="O55" s="124">
        <f t="shared" ca="1" si="40"/>
        <v>91.246930333876335</v>
      </c>
      <c r="P55" s="124">
        <f t="shared" ca="1" si="41"/>
        <v>91.246930333876335</v>
      </c>
    </row>
    <row r="56" spans="1:16" ht="21.75" customHeight="1" x14ac:dyDescent="0.3">
      <c r="A56" s="80"/>
      <c r="B56" s="81"/>
      <c r="C56" s="82" t="s">
        <v>16</v>
      </c>
      <c r="D56" s="576" t="s">
        <v>20</v>
      </c>
      <c r="E56" s="575"/>
      <c r="F56" s="575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735422</v>
      </c>
      <c r="M57" s="91">
        <f ca="1">IFERROR(__xludf.DUMMYFUNCTION("IMPORTRANGE(""https://docs.google.com/spreadsheets/d/1Yj_ptqi66GCucihVvJfMjLAmec39IyEx_6qawtMGysU/edit?usp=sharing"",""สบก!Z94"")"),735422)</f>
        <v>735422</v>
      </c>
      <c r="N57" s="91">
        <f ca="1">IFERROR(__xludf.DUMMYFUNCTION("IMPORTRANGE(""https://docs.google.com/spreadsheets/d/1Yj_ptqi66GCucihVvJfMjLAmec39IyEx_6qawtMGysU/edit?usp=sharing"",""สบก!AA94"")"),671050)</f>
        <v>671050</v>
      </c>
      <c r="O57" s="92">
        <f ca="1">IF(L57&gt;0,N57*100/L57,0)</f>
        <v>91.246930333876335</v>
      </c>
      <c r="P57" s="92">
        <f ca="1">IF(M57&gt;0,N57*100/M57,0)</f>
        <v>91.246930333876335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IFERROR(__xludf.DUMMYFUNCTION("IMPORTRANGE(""https://docs.google.com/spreadsheets/d/1Yj_ptqi66GCucihVvJfMjLAmec39IyEx_6qawtMGysU/edit?usp=sharing"",""สบก!V94"")"),735422)</f>
        <v>735422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IFERROR(__xludf.DUMMYFUNCTION("IMPORTRANGE(""https://docs.google.com/spreadsheets/d/1Yj_ptqi66GCucihVvJfMjLAmec39IyEx_6qawtMGysU/edit?usp=sharing"",""สบก!W94"")"),0)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6" t="s">
        <v>23</v>
      </c>
      <c r="E60" s="57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IFERROR(__xludf.DUMMYFUNCTION("IMPORTRANGE(""https://docs.google.com/spreadsheets/d/1Yj_ptqi66GCucihVvJfMjLAmec39IyEx_6qawtMGysU/edit?usp=sharing"",""สบก!X94"")"),0)</f>
        <v>0</v>
      </c>
      <c r="M61" s="101"/>
      <c r="N61" s="91">
        <f ca="1">IFERROR(__xludf.DUMMYFUNCTION("IMPORTRANGE(""https://docs.google.com/spreadsheets/d/1Yj_ptqi66GCucihVvJfMjLAmec39IyEx_6qawtMGysU/edit?usp=sharing"",""สบก!AB94"")"),0)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IFERROR(__xludf.DUMMYFUNCTION("IMPORTRANGE(""https://docs.google.com/spreadsheets/d/1IYY_tgx_IHuhSq3AJ5eI5OnqOPBNLWSHKh2a30DoXe8/edit?usp=sharing"",""สุราษฎร์ธานี!I9"")"),0)</f>
        <v>0</v>
      </c>
      <c r="J64" s="146">
        <f ca="1">IFERROR(__xludf.DUMMYFUNCTION("IMPORTRANGE(""https://docs.google.com/spreadsheets/d/1IYY_tgx_IHuhSq3AJ5eI5OnqOPBNLWSHKh2a30DoXe8/edit?usp=sharing"",""สุราษฎร์ธานี!J9"")"),0)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IFERROR(__xludf.DUMMYFUNCTION("IMPORTRANGE(""https://docs.google.com/spreadsheets/d/1IYY_tgx_IHuhSq3AJ5eI5OnqOPBNLWSHKh2a30DoXe8/edit?usp=sharing"",""สุราษฎร์ธานี!I10"")"),0)</f>
        <v>0</v>
      </c>
      <c r="J65" s="146">
        <f ca="1">IFERROR(__xludf.DUMMYFUNCTION("IMPORTRANGE(""https://docs.google.com/spreadsheets/d/1IYY_tgx_IHuhSq3AJ5eI5OnqOPBNLWSHKh2a30DoXe8/edit?usp=sharing"",""สุราษฎร์ธานี!J10"")"),0)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2" t="s">
        <v>17</v>
      </c>
      <c r="E66" s="573"/>
      <c r="F66" s="573"/>
      <c r="G66" s="573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3">
      <c r="A69" s="162"/>
      <c r="B69" s="163"/>
      <c r="C69" s="163" t="s">
        <v>16</v>
      </c>
      <c r="D69" s="574" t="s">
        <v>20</v>
      </c>
      <c r="E69" s="575"/>
      <c r="F69" s="575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IFERROR(__xludf.DUMMYFUNCTION("IMPORTRANGE(""https://docs.google.com/spreadsheets/d/1Yj_ptqi66GCucihVvJfMjLAmec39IyEx_6qawtMGysU/edit?usp=sharing"",""สบก!AI94"")"),0)</f>
        <v>0</v>
      </c>
      <c r="N70" s="174">
        <f ca="1">IFERROR(__xludf.DUMMYFUNCTION("IMPORTRANGE(""https://docs.google.com/spreadsheets/d/1Yj_ptqi66GCucihVvJfMjLAmec39IyEx_6qawtMGysU/edit?usp=sharing"",""สบก!AJ94"")"),0)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IFERROR(__xludf.DUMMYFUNCTION("IMPORTRANGE(""https://docs.google.com/spreadsheets/d/1Yj_ptqi66GCucihVvJfMjLAmec39IyEx_6qawtMGysU/edit?usp=sharing"",""สบก!AE94"")"),0)</f>
        <v>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IFERROR(__xludf.DUMMYFUNCTION("IMPORTRANGE(""https://docs.google.com/spreadsheets/d/1Yj_ptqi66GCucihVvJfMjLAmec39IyEx_6qawtMGysU/edit?usp=sharing"",""สบก!AF94"")"),0)</f>
        <v>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6" t="s">
        <v>23</v>
      </c>
      <c r="E73" s="575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IFERROR(__xludf.DUMMYFUNCTION("IMPORTRANGE(""https://docs.google.com/spreadsheets/d/1Yj_ptqi66GCucihVvJfMjLAmec39IyEx_6qawtMGysU/edit?usp=sharing"",""สบก!AG94"")"),0)</f>
        <v>0</v>
      </c>
      <c r="M74" s="101"/>
      <c r="N74" s="91">
        <f ca="1">IFERROR(__xludf.DUMMYFUNCTION("IMPORTRANGE(""https://docs.google.com/spreadsheets/d/1Yj_ptqi66GCucihVvJfMjLAmec39IyEx_6qawtMGysU/edit?usp=sharing"",""สบก!AK94"")"),0)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IFERROR(__xludf.DUMMYFUNCTION("IMPORTRANGE(""https://docs.google.com/spreadsheets/d/1IYY_tgx_IHuhSq3AJ5eI5OnqOPBNLWSHKh2a30DoXe8/edit?usp=sharing"",""สุราษฎร์ธานี!J16"")"),0)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IFERROR(__xludf.DUMMYFUNCTION("IMPORTRANGE(""https://docs.google.com/spreadsheets/d/1IYY_tgx_IHuhSq3AJ5eI5OnqOPBNLWSHKh2a30DoXe8/edit?usp=sharing"",""สุราษฎร์ธานี!J17"")"),0)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IFERROR(__xludf.DUMMYFUNCTION("IMPORTRANGE(""https://docs.google.com/spreadsheets/d/1IYY_tgx_IHuhSq3AJ5eI5OnqOPBNLWSHKh2a30DoXe8/edit?usp=sharing"",""สุราษฎร์ธานี!J18"")"),0)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IFERROR(__xludf.DUMMYFUNCTION("IMPORTRANGE(""https://docs.google.com/spreadsheets/d/1IYY_tgx_IHuhSq3AJ5eI5OnqOPBNLWSHKh2a30DoXe8/edit?usp=sharing"",""สุราษฎร์ธานี!J19"")"),0)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IFERROR(__xludf.DUMMYFUNCTION("IMPORTRANGE(""https://docs.google.com/spreadsheets/d/1IYY_tgx_IHuhSq3AJ5eI5OnqOPBNLWSHKh2a30DoXe8/edit?usp=sharing"",""สุราษฎร์ธานี!I20"")"),0)</f>
        <v>0</v>
      </c>
      <c r="J80" s="207">
        <f ca="1">IFERROR(__xludf.DUMMYFUNCTION("IMPORTRANGE(""https://docs.google.com/spreadsheets/d/1IYY_tgx_IHuhSq3AJ5eI5OnqOPBNLWSHKh2a30DoXe8/edit?usp=sharing"",""สุราษฎร์ธานี!J20"")"),0)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IFERROR(__xludf.DUMMYFUNCTION("IMPORTRANGE(""https://docs.google.com/spreadsheets/d/1IYY_tgx_IHuhSq3AJ5eI5OnqOPBNLWSHKh2a30DoXe8/edit?usp=sharing"",""สุราษฎร์ธานี!I21"")"),0)</f>
        <v>0</v>
      </c>
      <c r="J81" s="207">
        <f ca="1">IFERROR(__xludf.DUMMYFUNCTION("IMPORTRANGE(""https://docs.google.com/spreadsheets/d/1IYY_tgx_IHuhSq3AJ5eI5OnqOPBNLWSHKh2a30DoXe8/edit?usp=sharing"",""สุราษฎร์ธานี!J21"")"),0)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IFERROR(__xludf.DUMMYFUNCTION("IMPORTRANGE(""https://docs.google.com/spreadsheets/d/1IYY_tgx_IHuhSq3AJ5eI5OnqOPBNLWSHKh2a30DoXe8/edit?usp=sharing"",""สุราษฎร์ธานี!I22"")"),0)</f>
        <v>0</v>
      </c>
      <c r="J82" s="210">
        <f ca="1">IFERROR(__xludf.DUMMYFUNCTION("IMPORTRANGE(""https://docs.google.com/spreadsheets/d/1IYY_tgx_IHuhSq3AJ5eI5OnqOPBNLWSHKh2a30DoXe8/edit?usp=sharing"",""สุราษฎร์ธานี!J22"")"),0)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IFERROR(__xludf.DUMMYFUNCTION("IMPORTRANGE(""https://docs.google.com/spreadsheets/d/1IYY_tgx_IHuhSq3AJ5eI5OnqOPBNLWSHKh2a30DoXe8/edit?usp=sharing"",""สุราษฎร์ธานี!I23"")"),0)</f>
        <v>0</v>
      </c>
      <c r="J83" s="210">
        <f ca="1">IFERROR(__xludf.DUMMYFUNCTION("IMPORTRANGE(""https://docs.google.com/spreadsheets/d/1IYY_tgx_IHuhSq3AJ5eI5OnqOPBNLWSHKh2a30DoXe8/edit?usp=sharing"",""สุราษฎร์ธานี!J23"")"),0)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IFERROR(__xludf.DUMMYFUNCTION("IMPORTRANGE(""https://docs.google.com/spreadsheets/d/1IYY_tgx_IHuhSq3AJ5eI5OnqOPBNLWSHKh2a30DoXe8/edit?usp=sharing"",""สุราษฎร์ธานี!I24"")"),0)</f>
        <v>0</v>
      </c>
      <c r="J84" s="195">
        <f ca="1">IFERROR(__xludf.DUMMYFUNCTION("IMPORTRANGE(""https://docs.google.com/spreadsheets/d/1IYY_tgx_IHuhSq3AJ5eI5OnqOPBNLWSHKh2a30DoXe8/edit?usp=sharing"",""สุราษฎร์ธานี!J24"")"),0)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IFERROR(__xludf.DUMMYFUNCTION("IMPORTRANGE(""https://docs.google.com/spreadsheets/d/1IYY_tgx_IHuhSq3AJ5eI5OnqOPBNLWSHKh2a30DoXe8/edit?usp=sharing"",""สุราษฎร์ธานี!I25"")"),0)</f>
        <v>0</v>
      </c>
      <c r="J85" s="195">
        <f ca="1">IFERROR(__xludf.DUMMYFUNCTION("IMPORTRANGE(""https://docs.google.com/spreadsheets/d/1IYY_tgx_IHuhSq3AJ5eI5OnqOPBNLWSHKh2a30DoXe8/edit?usp=sharing"",""สุราษฎร์ธานี!J25"")"),0)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IFERROR(__xludf.DUMMYFUNCTION("IMPORTRANGE(""https://docs.google.com/spreadsheets/d/1IYY_tgx_IHuhSq3AJ5eI5OnqOPBNLWSHKh2a30DoXe8/edit?usp=sharing"",""สุราษฎร์ธานี!I26"")"),0)</f>
        <v>0</v>
      </c>
      <c r="J86" s="210">
        <f ca="1">IFERROR(__xludf.DUMMYFUNCTION("IMPORTRANGE(""https://docs.google.com/spreadsheets/d/1IYY_tgx_IHuhSq3AJ5eI5OnqOPBNLWSHKh2a30DoXe8/edit?usp=sharing"",""สุราษฎร์ธานี!J26"")"),0)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IFERROR(__xludf.DUMMYFUNCTION("IMPORTRANGE(""https://docs.google.com/spreadsheets/d/1IYY_tgx_IHuhSq3AJ5eI5OnqOPBNLWSHKh2a30DoXe8/edit?usp=sharing"",""สุราษฎร์ธานี!I27"")"),0)</f>
        <v>0</v>
      </c>
      <c r="J87" s="210">
        <f ca="1">IFERROR(__xludf.DUMMYFUNCTION("IMPORTRANGE(""https://docs.google.com/spreadsheets/d/1IYY_tgx_IHuhSq3AJ5eI5OnqOPBNLWSHKh2a30DoXe8/edit?usp=sharing"",""สุราษฎร์ธานี!J27"")"),0)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IFERROR(__xludf.DUMMYFUNCTION("IMPORTRANGE(""https://docs.google.com/spreadsheets/d/1IYY_tgx_IHuhSq3AJ5eI5OnqOPBNLWSHKh2a30DoXe8/edit?usp=sharing"",""สุราษฎร์ธานี!I28"")"),0)</f>
        <v>0</v>
      </c>
      <c r="J88" s="210">
        <f ca="1">IFERROR(__xludf.DUMMYFUNCTION("IMPORTRANGE(""https://docs.google.com/spreadsheets/d/1IYY_tgx_IHuhSq3AJ5eI5OnqOPBNLWSHKh2a30DoXe8/edit?usp=sharing"",""สุราษฎร์ธานี!J28"")"),0)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IFERROR(__xludf.DUMMYFUNCTION("IMPORTRANGE(""https://docs.google.com/spreadsheets/d/1IYY_tgx_IHuhSq3AJ5eI5OnqOPBNLWSHKh2a30DoXe8/edit?usp=sharing"",""สุราษฎร์ธานี!J29"")"),0)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IFERROR(__xludf.DUMMYFUNCTION("IMPORTRANGE(""https://docs.google.com/spreadsheets/d/1IYY_tgx_IHuhSq3AJ5eI5OnqOPBNLWSHKh2a30DoXe8/edit?usp=sharing"",""สุราษฎร์ธานี!J30"")"),0)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IFERROR(__xludf.DUMMYFUNCTION("IMPORTRANGE(""https://docs.google.com/spreadsheets/d/1IYY_tgx_IHuhSq3AJ5eI5OnqOPBNLWSHKh2a30DoXe8/edit?usp=sharing"",""สุราษฎร์ธานี!I32"")"),0)</f>
        <v>0</v>
      </c>
      <c r="J92" s="146">
        <f ca="1">IFERROR(__xludf.DUMMYFUNCTION("IMPORTRANGE(""https://docs.google.com/spreadsheets/d/1IYY_tgx_IHuhSq3AJ5eI5OnqOPBNLWSHKh2a30DoXe8/edit?usp=sharing"",""สุราษฎร์ธานี!J32"")"),0)</f>
        <v>0</v>
      </c>
      <c r="K92" s="147">
        <f t="shared" ref="K92:K93" ca="1" si="51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IFERROR(__xludf.DUMMYFUNCTION("IMPORTRANGE(""https://docs.google.com/spreadsheets/d/1IYY_tgx_IHuhSq3AJ5eI5OnqOPBNLWSHKh2a30DoXe8/edit?usp=sharing"",""สุราษฎร์ธานี!I33"")"),0)</f>
        <v>0</v>
      </c>
      <c r="J93" s="146">
        <f ca="1">IFERROR(__xludf.DUMMYFUNCTION("IMPORTRANGE(""https://docs.google.com/spreadsheets/d/1IYY_tgx_IHuhSq3AJ5eI5OnqOPBNLWSHKh2a30DoXe8/edit?usp=sharing"",""สุราษฎร์ธานี!J33"")"),0)</f>
        <v>0</v>
      </c>
      <c r="K93" s="147">
        <f t="shared" ca="1" si="51"/>
        <v>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2" t="s">
        <v>17</v>
      </c>
      <c r="E94" s="573"/>
      <c r="F94" s="573"/>
      <c r="G94" s="573"/>
      <c r="H94" s="153" t="s">
        <v>12</v>
      </c>
      <c r="I94" s="166"/>
      <c r="J94" s="166"/>
      <c r="K94" s="167"/>
      <c r="L94" s="156">
        <f t="shared" ref="L94:N94" ca="1" si="52">L95+L96</f>
        <v>0</v>
      </c>
      <c r="M94" s="156">
        <f t="shared" ca="1" si="52"/>
        <v>0</v>
      </c>
      <c r="N94" s="156">
        <f t="shared" ca="1" si="52"/>
        <v>0</v>
      </c>
      <c r="O94" s="155">
        <f t="shared" ref="O94:O96" ca="1" si="53">IF(L94&gt;0,N94*100/L94,0)</f>
        <v>0</v>
      </c>
      <c r="P94" s="155">
        <f t="shared" ref="P94:P96" ca="1" si="54">IF(M94&gt;0,N94*100/M94,0)</f>
        <v>0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0</v>
      </c>
      <c r="M96" s="161">
        <f t="shared" ca="1" si="56"/>
        <v>0</v>
      </c>
      <c r="N96" s="161">
        <f t="shared" ca="1" si="56"/>
        <v>0</v>
      </c>
      <c r="O96" s="160">
        <f t="shared" ca="1" si="53"/>
        <v>0</v>
      </c>
      <c r="P96" s="160">
        <f t="shared" ca="1" si="54"/>
        <v>0</v>
      </c>
    </row>
    <row r="97" spans="1:16" ht="21.75" customHeight="1" x14ac:dyDescent="0.3">
      <c r="A97" s="162"/>
      <c r="B97" s="163"/>
      <c r="C97" s="163" t="s">
        <v>16</v>
      </c>
      <c r="D97" s="574" t="s">
        <v>20</v>
      </c>
      <c r="E97" s="575"/>
      <c r="F97" s="575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0</v>
      </c>
      <c r="M98" s="173">
        <f ca="1">IFERROR(__xludf.DUMMYFUNCTION("IMPORTRANGE(""https://docs.google.com/spreadsheets/d/1Yj_ptqi66GCucihVvJfMjLAmec39IyEx_6qawtMGysU/edit?usp=sharing"",""สบก!AR94"")"),0)</f>
        <v>0</v>
      </c>
      <c r="N98" s="174">
        <f ca="1">IFERROR(__xludf.DUMMYFUNCTION("IMPORTRANGE(""https://docs.google.com/spreadsheets/d/1Yj_ptqi66GCucihVvJfMjLAmec39IyEx_6qawtMGysU/edit?usp=sharing"",""สบก!AS94"")"),0)</f>
        <v>0</v>
      </c>
      <c r="O98" s="175">
        <f ca="1">IF(L98&gt;0,N98*100/L98,0)</f>
        <v>0</v>
      </c>
      <c r="P98" s="175">
        <f ca="1">IF(M98&gt;0,N98*100/M98,0)</f>
        <v>0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IFERROR(__xludf.DUMMYFUNCTION("IMPORTRANGE(""https://docs.google.com/spreadsheets/d/1Yj_ptqi66GCucihVvJfMjLAmec39IyEx_6qawtMGysU/edit?usp=sharing"",""สบก!AN94"")"),0)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IFERROR(__xludf.DUMMYFUNCTION("IMPORTRANGE(""https://docs.google.com/spreadsheets/d/1Yj_ptqi66GCucihVvJfMjLAmec39IyEx_6qawtMGysU/edit?usp=sharing"",""สบก!AO94"")"),0)</f>
        <v>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6" t="s">
        <v>23</v>
      </c>
      <c r="E101" s="575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IFERROR(__xludf.DUMMYFUNCTION("IMPORTRANGE(""https://docs.google.com/spreadsheets/d/1Yj_ptqi66GCucihVvJfMjLAmec39IyEx_6qawtMGysU/edit?usp=sharing"",""สบก!AP94"")"),0)</f>
        <v>0</v>
      </c>
      <c r="M102" s="101"/>
      <c r="N102" s="91">
        <f ca="1">IFERROR(__xludf.DUMMYFUNCTION("IMPORTRANGE(""https://docs.google.com/spreadsheets/d/1Yj_ptqi66GCucihVvJfMjLAmec39IyEx_6qawtMGysU/edit?usp=sharing"",""สบก!AT94"")"),0)</f>
        <v>0</v>
      </c>
      <c r="O102" s="101">
        <f ca="1">IF(L102&gt;0,N102*100/L102,0)</f>
        <v>0</v>
      </c>
      <c r="P102" s="101"/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IFERROR(__xludf.DUMMYFUNCTION("IMPORTRANGE(""https://docs.google.com/spreadsheets/d/1IYY_tgx_IHuhSq3AJ5eI5OnqOPBNLWSHKh2a30DoXe8/edit?usp=sharing"",""สุราษฎร์ธานี!J39"")"),0)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IFERROR(__xludf.DUMMYFUNCTION("IMPORTRANGE(""https://docs.google.com/spreadsheets/d/1IYY_tgx_IHuhSq3AJ5eI5OnqOPBNLWSHKh2a30DoXe8/edit?usp=sharing"",""สุราษฎร์ธานี!J40"")"),0)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IFERROR(__xludf.DUMMYFUNCTION("IMPORTRANGE(""https://docs.google.com/spreadsheets/d/1IYY_tgx_IHuhSq3AJ5eI5OnqOPBNLWSHKh2a30DoXe8/edit?usp=sharing"",""สุราษฎร์ธานี!J41"")"),0)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IFERROR(__xludf.DUMMYFUNCTION("IMPORTRANGE(""https://docs.google.com/spreadsheets/d/1IYY_tgx_IHuhSq3AJ5eI5OnqOPBNLWSHKh2a30DoXe8/edit?usp=sharing"",""สุราษฎร์ธานี!J42"")"),0)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IFERROR(__xludf.DUMMYFUNCTION("IMPORTRANGE(""https://docs.google.com/spreadsheets/d/1IYY_tgx_IHuhSq3AJ5eI5OnqOPBNLWSHKh2a30DoXe8/edit?usp=sharing"",""สุราษฎร์ธานี!I43"")"),0)</f>
        <v>0</v>
      </c>
      <c r="J108" s="210">
        <f ca="1">IFERROR(__xludf.DUMMYFUNCTION("IMPORTRANGE(""https://docs.google.com/spreadsheets/d/1IYY_tgx_IHuhSq3AJ5eI5OnqOPBNLWSHKh2a30DoXe8/edit?usp=sharing"",""สุราษฎร์ธานี!J43"")"),0)</f>
        <v>0</v>
      </c>
      <c r="K108" s="230">
        <f t="shared" ref="K108:K113" ca="1" si="57">IF(I108&gt;0,J108*100/I108,0)</f>
        <v>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IFERROR(__xludf.DUMMYFUNCTION("IMPORTRANGE(""https://docs.google.com/spreadsheets/d/1IYY_tgx_IHuhSq3AJ5eI5OnqOPBNLWSHKh2a30DoXe8/edit?usp=sharing"",""สุราษฎร์ธานี!I44"")"),0)</f>
        <v>0</v>
      </c>
      <c r="J109" s="210">
        <f ca="1">IFERROR(__xludf.DUMMYFUNCTION("IMPORTRANGE(""https://docs.google.com/spreadsheets/d/1IYY_tgx_IHuhSq3AJ5eI5OnqOPBNLWSHKh2a30DoXe8/edit?usp=sharing"",""สุราษฎร์ธานี!J44"")"),0)</f>
        <v>0</v>
      </c>
      <c r="K109" s="230">
        <f t="shared" ca="1" si="57"/>
        <v>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IFERROR(__xludf.DUMMYFUNCTION("IMPORTRANGE(""https://docs.google.com/spreadsheets/d/1IYY_tgx_IHuhSq3AJ5eI5OnqOPBNLWSHKh2a30DoXe8/edit?usp=sharing"",""สุราษฎร์ธานี!I45"")"),0)</f>
        <v>0</v>
      </c>
      <c r="J110" s="210">
        <f ca="1">IFERROR(__xludf.DUMMYFUNCTION("IMPORTRANGE(""https://docs.google.com/spreadsheets/d/1IYY_tgx_IHuhSq3AJ5eI5OnqOPBNLWSHKh2a30DoXe8/edit?usp=sharing"",""สุราษฎร์ธานี!J45"")"),0)</f>
        <v>0</v>
      </c>
      <c r="K110" s="230">
        <f t="shared" ca="1" si="57"/>
        <v>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IFERROR(__xludf.DUMMYFUNCTION("IMPORTRANGE(""https://docs.google.com/spreadsheets/d/1IYY_tgx_IHuhSq3AJ5eI5OnqOPBNLWSHKh2a30DoXe8/edit?usp=sharing"",""สุราษฎร์ธานี!I46"")"),0)</f>
        <v>0</v>
      </c>
      <c r="J111" s="210">
        <f ca="1">IFERROR(__xludf.DUMMYFUNCTION("IMPORTRANGE(""https://docs.google.com/spreadsheets/d/1IYY_tgx_IHuhSq3AJ5eI5OnqOPBNLWSHKh2a30DoXe8/edit?usp=sharing"",""สุราษฎร์ธานี!J46"")"),0)</f>
        <v>0</v>
      </c>
      <c r="K111" s="230">
        <f t="shared" ca="1" si="57"/>
        <v>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IFERROR(__xludf.DUMMYFUNCTION("IMPORTRANGE(""https://docs.google.com/spreadsheets/d/1IYY_tgx_IHuhSq3AJ5eI5OnqOPBNLWSHKh2a30DoXe8/edit?usp=sharing"",""สุราษฎร์ธานี!I47"")"),0)</f>
        <v>0</v>
      </c>
      <c r="J112" s="210">
        <f ca="1">IFERROR(__xludf.DUMMYFUNCTION("IMPORTRANGE(""https://docs.google.com/spreadsheets/d/1IYY_tgx_IHuhSq3AJ5eI5OnqOPBNLWSHKh2a30DoXe8/edit?usp=sharing"",""สุราษฎร์ธานี!J47"")"),0)</f>
        <v>0</v>
      </c>
      <c r="K112" s="230">
        <f t="shared" ca="1" si="57"/>
        <v>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IFERROR(__xludf.DUMMYFUNCTION("IMPORTRANGE(""https://docs.google.com/spreadsheets/d/1IYY_tgx_IHuhSq3AJ5eI5OnqOPBNLWSHKh2a30DoXe8/edit?usp=sharing"",""สุราษฎร์ธานี!I48"")"),0)</f>
        <v>0</v>
      </c>
      <c r="J113" s="210">
        <f ca="1">IFERROR(__xludf.DUMMYFUNCTION("IMPORTRANGE(""https://docs.google.com/spreadsheets/d/1IYY_tgx_IHuhSq3AJ5eI5OnqOPBNLWSHKh2a30DoXe8/edit?usp=sharing"",""สุราษฎร์ธานี!J48"")"),0)</f>
        <v>0</v>
      </c>
      <c r="K113" s="230">
        <f t="shared" ca="1" si="57"/>
        <v>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IFERROR(__xludf.DUMMYFUNCTION("IMPORTRANGE(""https://docs.google.com/spreadsheets/d/1IYY_tgx_IHuhSq3AJ5eI5OnqOPBNLWSHKh2a30DoXe8/edit?usp=sharing"",""สุราษฎร์ธานี!J49"")"),0)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IFERROR(__xludf.DUMMYFUNCTION("IMPORTRANGE(""https://docs.google.com/spreadsheets/d/1IYY_tgx_IHuhSq3AJ5eI5OnqOPBNLWSHKh2a30DoXe8/edit?usp=sharing"",""สุราษฎร์ธานี!J50"")"),0)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IFERROR(__xludf.DUMMYFUNCTION("IMPORTRANGE(""https://docs.google.com/spreadsheets/d/1IYY_tgx_IHuhSq3AJ5eI5OnqOPBNLWSHKh2a30DoXe8/edit?usp=sharing"",""สุราษฎร์ธานี!I52"")"),15)</f>
        <v>15</v>
      </c>
      <c r="J117" s="146">
        <f ca="1">IFERROR(__xludf.DUMMYFUNCTION("IMPORTRANGE(""https://docs.google.com/spreadsheets/d/1IYY_tgx_IHuhSq3AJ5eI5OnqOPBNLWSHKh2a30DoXe8/edit?usp=sharing"",""สุราษฎร์ธานี!J52"")"),15)</f>
        <v>15</v>
      </c>
      <c r="K117" s="147">
        <f ca="1">IF(I117&gt;0,J117*100/I117,0)</f>
        <v>100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2" t="s">
        <v>17</v>
      </c>
      <c r="E118" s="573"/>
      <c r="F118" s="573"/>
      <c r="G118" s="573"/>
      <c r="H118" s="153" t="s">
        <v>12</v>
      </c>
      <c r="I118" s="166"/>
      <c r="J118" s="166"/>
      <c r="K118" s="167"/>
      <c r="L118" s="156">
        <f t="shared" ref="L118:N118" ca="1" si="58">L119+L120</f>
        <v>70490</v>
      </c>
      <c r="M118" s="156">
        <f t="shared" ca="1" si="58"/>
        <v>70490</v>
      </c>
      <c r="N118" s="156">
        <f t="shared" ca="1" si="58"/>
        <v>70490</v>
      </c>
      <c r="O118" s="155">
        <f t="shared" ref="O118:O120" ca="1" si="59">IF(L118&gt;0,N118*100/L118,0)</f>
        <v>100</v>
      </c>
      <c r="P118" s="155">
        <f t="shared" ref="P118:P120" ca="1" si="60">IF(M118&gt;0,N118*100/M118,0)</f>
        <v>100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70490</v>
      </c>
      <c r="M120" s="161">
        <f t="shared" ca="1" si="62"/>
        <v>70490</v>
      </c>
      <c r="N120" s="161">
        <f t="shared" ca="1" si="62"/>
        <v>70490</v>
      </c>
      <c r="O120" s="160">
        <f t="shared" ca="1" si="59"/>
        <v>100</v>
      </c>
      <c r="P120" s="160">
        <f t="shared" ca="1" si="60"/>
        <v>100</v>
      </c>
    </row>
    <row r="121" spans="1:16" ht="21.75" customHeight="1" x14ac:dyDescent="0.3">
      <c r="A121" s="162"/>
      <c r="B121" s="163"/>
      <c r="C121" s="163" t="s">
        <v>16</v>
      </c>
      <c r="D121" s="574" t="s">
        <v>20</v>
      </c>
      <c r="E121" s="575"/>
      <c r="F121" s="575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70490</v>
      </c>
      <c r="M122" s="173">
        <f ca="1">IFERROR(__xludf.DUMMYFUNCTION("IMPORTRANGE(""https://docs.google.com/spreadsheets/d/1Yj_ptqi66GCucihVvJfMjLAmec39IyEx_6qawtMGysU/edit?usp=sharing"",""สบก!BA94"")"),70490)</f>
        <v>70490</v>
      </c>
      <c r="N122" s="174">
        <f ca="1">IFERROR(__xludf.DUMMYFUNCTION("IMPORTRANGE(""https://docs.google.com/spreadsheets/d/1Yj_ptqi66GCucihVvJfMjLAmec39IyEx_6qawtMGysU/edit?usp=sharing"",""สบก!BB94"")"),70490)</f>
        <v>70490</v>
      </c>
      <c r="O122" s="175">
        <f ca="1">IF(L122&gt;0,N122*100/L122,0)</f>
        <v>100</v>
      </c>
      <c r="P122" s="175">
        <f ca="1">IF(M122&gt;0,N122*100/M122,0)</f>
        <v>100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IFERROR(__xludf.DUMMYFUNCTION("IMPORTRANGE(""https://docs.google.com/spreadsheets/d/1Yj_ptqi66GCucihVvJfMjLAmec39IyEx_6qawtMGysU/edit?usp=sharing"",""สบก!AW94"")"),0)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IFERROR(__xludf.DUMMYFUNCTION("IMPORTRANGE(""https://docs.google.com/spreadsheets/d/1Yj_ptqi66GCucihVvJfMjLAmec39IyEx_6qawtMGysU/edit?usp=sharing"",""สบก!AX94"")"),70490)</f>
        <v>70490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6" t="s">
        <v>23</v>
      </c>
      <c r="E125" s="575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IFERROR(__xludf.DUMMYFUNCTION("IMPORTRANGE(""https://docs.google.com/spreadsheets/d/1Yj_ptqi66GCucihVvJfMjLAmec39IyEx_6qawtMGysU/edit?usp=sharing"",""สบก!AY94"")"),0)</f>
        <v>0</v>
      </c>
      <c r="M126" s="101"/>
      <c r="N126" s="91">
        <f ca="1">IFERROR(__xludf.DUMMYFUNCTION("IMPORTRANGE(""https://docs.google.com/spreadsheets/d/1Yj_ptqi66GCucihVvJfMjLAmec39IyEx_6qawtMGysU/edit?usp=sharing"",""สบก!BC94"")"),0)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289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IFERROR(__xludf.DUMMYFUNCTION("IMPORTRANGE(""https://docs.google.com/spreadsheets/d/1IYY_tgx_IHuhSq3AJ5eI5OnqOPBNLWSHKh2a30DoXe8/edit?usp=sharing"",""สุราษฎร์ธานี!J58"")"),0)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IFERROR(__xludf.DUMMYFUNCTION("IMPORTRANGE(""https://docs.google.com/spreadsheets/d/1IYY_tgx_IHuhSq3AJ5eI5OnqOPBNLWSHKh2a30DoXe8/edit?usp=sharing"",""สุราษฎร์ธานี!J59"")"),1)</f>
        <v>1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IFERROR(__xludf.DUMMYFUNCTION("IMPORTRANGE(""https://docs.google.com/spreadsheets/d/1IYY_tgx_IHuhSq3AJ5eI5OnqOPBNLWSHKh2a30DoXe8/edit?usp=sharing"",""สุราษฎร์ธานี!J60"")"),1)</f>
        <v>1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IFERROR(__xludf.DUMMYFUNCTION("IMPORTRANGE(""https://docs.google.com/spreadsheets/d/1IYY_tgx_IHuhSq3AJ5eI5OnqOPBNLWSHKh2a30DoXe8/edit?usp=sharing"",""สุราษฎร์ธานี!J61"")"),1)</f>
        <v>1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IFERROR(__xludf.DUMMYFUNCTION("IMPORTRANGE(""https://docs.google.com/spreadsheets/d/1IYY_tgx_IHuhSq3AJ5eI5OnqOPBNLWSHKh2a30DoXe8/edit?usp=sharing"",""สุราษฎร์ธานี!I62"")"),15)</f>
        <v>15</v>
      </c>
      <c r="J132" s="210">
        <f ca="1">IFERROR(__xludf.DUMMYFUNCTION("IMPORTRANGE(""https://docs.google.com/spreadsheets/d/1IYY_tgx_IHuhSq3AJ5eI5OnqOPBNLWSHKh2a30DoXe8/edit?usp=sharing"",""สุราษฎร์ธานี!J62"")"),15)</f>
        <v>15</v>
      </c>
      <c r="K132" s="230">
        <f t="shared" ref="K132:K133" ca="1" si="63">IF(I132&gt;0,J132*100/I132,0)</f>
        <v>100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IFERROR(__xludf.DUMMYFUNCTION("IMPORTRANGE(""https://docs.google.com/spreadsheets/d/1IYY_tgx_IHuhSq3AJ5eI5OnqOPBNLWSHKh2a30DoXe8/edit?usp=sharing"",""สุราษฎร์ธานี!I63"")"),15)</f>
        <v>15</v>
      </c>
      <c r="J133" s="210">
        <f ca="1">IFERROR(__xludf.DUMMYFUNCTION("IMPORTRANGE(""https://docs.google.com/spreadsheets/d/1IYY_tgx_IHuhSq3AJ5eI5OnqOPBNLWSHKh2a30DoXe8/edit?usp=sharing"",""สุราษฎร์ธานี!J63"")"),15)</f>
        <v>15</v>
      </c>
      <c r="K133" s="230">
        <f t="shared" ca="1" si="63"/>
        <v>100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IFERROR(__xludf.DUMMYFUNCTION("IMPORTRANGE(""https://docs.google.com/spreadsheets/d/1IYY_tgx_IHuhSq3AJ5eI5OnqOPBNLWSHKh2a30DoXe8/edit?usp=sharing"",""สุราษฎร์ธานี!J64"")"),0)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IFERROR(__xludf.DUMMYFUNCTION("IMPORTRANGE(""https://docs.google.com/spreadsheets/d/1IYY_tgx_IHuhSq3AJ5eI5OnqOPBNLWSHKh2a30DoXe8/edit?usp=sharing"",""สุราษฎร์ธานี!J65"")"),0)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IFERROR(__xludf.DUMMYFUNCTION("IMPORTRANGE(""https://docs.google.com/spreadsheets/d/1IYY_tgx_IHuhSq3AJ5eI5OnqOPBNLWSHKh2a30DoXe8/edit?usp=sharing"",""สุราษฎร์ธานี!I68"")"),0)</f>
        <v>0</v>
      </c>
      <c r="J138" s="273">
        <f ca="1">IFERROR(__xludf.DUMMYFUNCTION("IMPORTRANGE(""https://docs.google.com/spreadsheets/d/1IYY_tgx_IHuhSq3AJ5eI5OnqOPBNLWSHKh2a30DoXe8/edit?usp=sharing"",""สุราษฎร์ธานี!J68"")"),0)</f>
        <v>0</v>
      </c>
      <c r="K138" s="274">
        <f ca="1">IF(I138&gt;0,J138*100/I138,0)</f>
        <v>0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2" t="s">
        <v>17</v>
      </c>
      <c r="E140" s="573"/>
      <c r="F140" s="573"/>
      <c r="G140" s="573"/>
      <c r="H140" s="153" t="s">
        <v>12</v>
      </c>
      <c r="I140" s="166"/>
      <c r="J140" s="166"/>
      <c r="K140" s="167"/>
      <c r="L140" s="156">
        <f t="shared" ref="L140:N140" ca="1" si="64">L141+L142</f>
        <v>57000</v>
      </c>
      <c r="M140" s="156">
        <f t="shared" ca="1" si="64"/>
        <v>57000</v>
      </c>
      <c r="N140" s="156">
        <f t="shared" ca="1" si="64"/>
        <v>55416</v>
      </c>
      <c r="O140" s="155">
        <f t="shared" ref="O140:O142" ca="1" si="65">IF(L140&gt;0,N140*100/L140,0)</f>
        <v>97.221052631578942</v>
      </c>
      <c r="P140" s="155">
        <f t="shared" ref="P140:P142" ca="1" si="66">IF(M140&gt;0,N140*100/M140,0)</f>
        <v>97.221052631578942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57000</v>
      </c>
      <c r="M142" s="161">
        <f t="shared" ca="1" si="68"/>
        <v>57000</v>
      </c>
      <c r="N142" s="161">
        <f t="shared" ca="1" si="68"/>
        <v>55416</v>
      </c>
      <c r="O142" s="160">
        <f t="shared" ca="1" si="65"/>
        <v>97.221052631578942</v>
      </c>
      <c r="P142" s="160">
        <f t="shared" ca="1" si="66"/>
        <v>97.221052631578942</v>
      </c>
    </row>
    <row r="143" spans="1:16" ht="21.75" customHeight="1" x14ac:dyDescent="0.3">
      <c r="A143" s="162"/>
      <c r="B143" s="163"/>
      <c r="C143" s="163" t="s">
        <v>16</v>
      </c>
      <c r="D143" s="574" t="s">
        <v>20</v>
      </c>
      <c r="E143" s="575"/>
      <c r="F143" s="575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57000</v>
      </c>
      <c r="M144" s="173">
        <f ca="1">IFERROR(__xludf.DUMMYFUNCTION("IMPORTRANGE(""https://docs.google.com/spreadsheets/d/1Yj_ptqi66GCucihVvJfMjLAmec39IyEx_6qawtMGysU/edit?usp=sharing"",""สบก!BJ94"")"),57000)</f>
        <v>57000</v>
      </c>
      <c r="N144" s="174">
        <f ca="1">IFERROR(__xludf.DUMMYFUNCTION("IMPORTRANGE(""https://docs.google.com/spreadsheets/d/1Yj_ptqi66GCucihVvJfMjLAmec39IyEx_6qawtMGysU/edit?usp=sharing"",""สบก!BK94"")"),55416)</f>
        <v>55416</v>
      </c>
      <c r="O144" s="175">
        <f ca="1">IF(L144&gt;0,N144*100/L144,0)</f>
        <v>97.221052631578942</v>
      </c>
      <c r="P144" s="175">
        <f ca="1">IF(M144&gt;0,N144*100/M144,0)</f>
        <v>97.221052631578942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IFERROR(__xludf.DUMMYFUNCTION("IMPORTRANGE(""https://docs.google.com/spreadsheets/d/1Yj_ptqi66GCucihVvJfMjLAmec39IyEx_6qawtMGysU/edit?usp=sharing"",""สบก!BF94"")"),0)</f>
        <v>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IFERROR(__xludf.DUMMYFUNCTION("IMPORTRANGE(""https://docs.google.com/spreadsheets/d/1Yj_ptqi66GCucihVvJfMjLAmec39IyEx_6qawtMGysU/edit?usp=sharing"",""สบก!BG94"")"),57000)</f>
        <v>57000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6" t="s">
        <v>23</v>
      </c>
      <c r="E147" s="575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IFERROR(__xludf.DUMMYFUNCTION("IMPORTRANGE(""https://docs.google.com/spreadsheets/d/1Yj_ptqi66GCucihVvJfMjLAmec39IyEx_6qawtMGysU/edit?usp=sharing"",""สบก!BH94"")"),0)</f>
        <v>0</v>
      </c>
      <c r="M148" s="101"/>
      <c r="N148" s="91">
        <f ca="1">IFERROR(__xludf.DUMMYFUNCTION("IMPORTRANGE(""https://docs.google.com/spreadsheets/d/1Yj_ptqi66GCucihVvJfMjLAmec39IyEx_6qawtMGysU/edit?usp=sharing"",""สบก!BL94"")"),0)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IFERROR(__xludf.DUMMYFUNCTION("IMPORTRANGE(""https://docs.google.com/spreadsheets/d/1IYY_tgx_IHuhSq3AJ5eI5OnqOPBNLWSHKh2a30DoXe8/edit?usp=sharing"",""สุราษฎร์ธานี!I74"")"),4)</f>
        <v>4</v>
      </c>
      <c r="J149" s="281">
        <f ca="1">IFERROR(__xludf.DUMMYFUNCTION("IMPORTRANGE(""https://docs.google.com/spreadsheets/d/1IYY_tgx_IHuhSq3AJ5eI5OnqOPBNLWSHKh2a30DoXe8/edit?usp=sharing"",""สุราษฎร์ธานี!J74"")"),4)</f>
        <v>4</v>
      </c>
      <c r="K149" s="282">
        <f ca="1">IF(I149&gt;0,J149*100/I149,0)</f>
        <v>100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IFERROR(__xludf.DUMMYFUNCTION("IMPORTRANGE(""https://docs.google.com/spreadsheets/d/1IYY_tgx_IHuhSq3AJ5eI5OnqOPBNLWSHKh2a30DoXe8/edit?usp=sharing"",""สุราษฎร์ธานี!J79"")"),0)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IFERROR(__xludf.DUMMYFUNCTION("IMPORTRANGE(""https://docs.google.com/spreadsheets/d/1IYY_tgx_IHuhSq3AJ5eI5OnqOPBNLWSHKh2a30DoXe8/edit?usp=sharing"",""สุราษฎร์ธานี!J80"")"),1)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IFERROR(__xludf.DUMMYFUNCTION("IMPORTRANGE(""https://docs.google.com/spreadsheets/d/1IYY_tgx_IHuhSq3AJ5eI5OnqOPBNLWSHKh2a30DoXe8/edit?usp=sharing"",""สุราษฎร์ธานี!J81"")"),1)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IFERROR(__xludf.DUMMYFUNCTION("IMPORTRANGE(""https://docs.google.com/spreadsheets/d/1IYY_tgx_IHuhSq3AJ5eI5OnqOPBNLWSHKh2a30DoXe8/edit?usp=sharing"",""สุราษฎร์ธานี!J82"")"),1)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IFERROR(__xludf.DUMMYFUNCTION("IMPORTRANGE(""https://docs.google.com/spreadsheets/d/1IYY_tgx_IHuhSq3AJ5eI5OnqOPBNLWSHKh2a30DoXe8/edit?usp=sharing"",""สุราษฎร์ธานี!I83"")"),4)</f>
        <v>4</v>
      </c>
      <c r="J158" s="195">
        <f ca="1">IFERROR(__xludf.DUMMYFUNCTION("IMPORTRANGE(""https://docs.google.com/spreadsheets/d/1IYY_tgx_IHuhSq3AJ5eI5OnqOPBNLWSHKh2a30DoXe8/edit?usp=sharing"",""สุราษฎร์ธานี!J83"")"),4)</f>
        <v>4</v>
      </c>
      <c r="K158" s="167">
        <f ca="1">IF(I158&gt;0,J158*100/I158,0)</f>
        <v>100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IFERROR(__xludf.DUMMYFUNCTION("IMPORTRANGE(""https://docs.google.com/spreadsheets/d/1IYY_tgx_IHuhSq3AJ5eI5OnqOPBNLWSHKh2a30DoXe8/edit?usp=sharing"",""สุราษฎร์ธานี!J84"")"),90)</f>
        <v>90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IFERROR(__xludf.DUMMYFUNCTION("IMPORTRANGE(""https://docs.google.com/spreadsheets/d/1IYY_tgx_IHuhSq3AJ5eI5OnqOPBNLWSHKh2a30DoXe8/edit?usp=sharing"",""สุราษฎร์ธานี!J85"")"),90)</f>
        <v>90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IFERROR(__xludf.DUMMYFUNCTION("IMPORTRANGE(""https://docs.google.com/spreadsheets/d/1IYY_tgx_IHuhSq3AJ5eI5OnqOPBNLWSHKh2a30DoXe8/edit?usp=sharing"",""สุราษฎร์ธานี!J86"")"),0)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IFERROR(__xludf.DUMMYFUNCTION("IMPORTRANGE(""https://docs.google.com/spreadsheets/d/1IYY_tgx_IHuhSq3AJ5eI5OnqOPBNLWSHKh2a30DoXe8/edit?usp=sharing"",""สุราษฎร์ธานี!J87"")"),0)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IFERROR(__xludf.DUMMYFUNCTION("IMPORTRANGE(""https://docs.google.com/spreadsheets/d/1IYY_tgx_IHuhSq3AJ5eI5OnqOPBNLWSHKh2a30DoXe8/edit?usp=sharing"",""สุราษฎร์ธานี!J88"")"),0)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IFERROR(__xludf.DUMMYFUNCTION("IMPORTRANGE(""https://docs.google.com/spreadsheets/d/1IYY_tgx_IHuhSq3AJ5eI5OnqOPBNLWSHKh2a30DoXe8/edit?usp=sharing"",""สุราษฎร์ธานี!I89"")"),3)</f>
        <v>3</v>
      </c>
      <c r="J164" s="290">
        <f ca="1">IFERROR(__xludf.DUMMYFUNCTION("IMPORTRANGE(""https://docs.google.com/spreadsheets/d/1IYY_tgx_IHuhSq3AJ5eI5OnqOPBNLWSHKh2a30DoXe8/edit?usp=sharing"",""สุราษฎร์ธานี!J89"")"),3)</f>
        <v>3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IFERROR(__xludf.DUMMYFUNCTION("IMPORTRANGE(""https://docs.google.com/spreadsheets/d/1IYY_tgx_IHuhSq3AJ5eI5OnqOPBNLWSHKh2a30DoXe8/edit?usp=sharing"",""สุราษฎร์ธานี!J94"")"),0)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IFERROR(__xludf.DUMMYFUNCTION("IMPORTRANGE(""https://docs.google.com/spreadsheets/d/1IYY_tgx_IHuhSq3AJ5eI5OnqOPBNLWSHKh2a30DoXe8/edit?usp=sharing"",""สุราษฎร์ธานี!J95"")"),1)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IFERROR(__xludf.DUMMYFUNCTION("IMPORTRANGE(""https://docs.google.com/spreadsheets/d/1IYY_tgx_IHuhSq3AJ5eI5OnqOPBNLWSHKh2a30DoXe8/edit?usp=sharing"",""สุราษฎร์ธานี!J96"")"),1)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IFERROR(__xludf.DUMMYFUNCTION("IMPORTRANGE(""https://docs.google.com/spreadsheets/d/1IYY_tgx_IHuhSq3AJ5eI5OnqOPBNLWSHKh2a30DoXe8/edit?usp=sharing"",""สุราษฎร์ธานี!J97"")"),1)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IFERROR(__xludf.DUMMYFUNCTION("IMPORTRANGE(""https://docs.google.com/spreadsheets/d/1IYY_tgx_IHuhSq3AJ5eI5OnqOPBNLWSHKh2a30DoXe8/edit?usp=sharing"",""สุราษฎร์ธานี!I98"")"),3)</f>
        <v>3</v>
      </c>
      <c r="J173" s="195">
        <f ca="1">IFERROR(__xludf.DUMMYFUNCTION("IMPORTRANGE(""https://docs.google.com/spreadsheets/d/1IYY_tgx_IHuhSq3AJ5eI5OnqOPBNLWSHKh2a30DoXe8/edit?usp=sharing"",""สุราษฎร์ธานี!J98"")"),3)</f>
        <v>3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IFERROR(__xludf.DUMMYFUNCTION("IMPORTRANGE(""https://docs.google.com/spreadsheets/d/1IYY_tgx_IHuhSq3AJ5eI5OnqOPBNLWSHKh2a30DoXe8/edit?usp=sharing"",""สุราษฎร์ธานี!J99"")"),0)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IFERROR(__xludf.DUMMYFUNCTION("IMPORTRANGE(""https://docs.google.com/spreadsheets/d/1IYY_tgx_IHuhSq3AJ5eI5OnqOPBNLWSHKh2a30DoXe8/edit?usp=sharing"",""สุราษฎร์ธานี!J100"")"),0)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IFERROR(__xludf.DUMMYFUNCTION("IMPORTRANGE(""https://docs.google.com/spreadsheets/d/1IYY_tgx_IHuhSq3AJ5eI5OnqOPBNLWSHKh2a30DoXe8/edit?usp=sharing"",""สุราษฎร์ธานี!I101"")"),0)</f>
        <v>0</v>
      </c>
      <c r="J176" s="290">
        <f ca="1">IFERROR(__xludf.DUMMYFUNCTION("IMPORTRANGE(""https://docs.google.com/spreadsheets/d/1IYY_tgx_IHuhSq3AJ5eI5OnqOPBNLWSHKh2a30DoXe8/edit?usp=sharing"",""สุราษฎร์ธานี!J101"")"),0)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IFERROR(__xludf.DUMMYFUNCTION("IMPORTRANGE(""https://docs.google.com/spreadsheets/d/1IYY_tgx_IHuhSq3AJ5eI5OnqOPBNLWSHKh2a30DoXe8/edit?usp=sharing"",""สุราษฎร์ธานี!J106"")"),0)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IFERROR(__xludf.DUMMYFUNCTION("IMPORTRANGE(""https://docs.google.com/spreadsheets/d/1IYY_tgx_IHuhSq3AJ5eI5OnqOPBNLWSHKh2a30DoXe8/edit?usp=sharing"",""สุราษฎร์ธานี!J107"")"),0)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IFERROR(__xludf.DUMMYFUNCTION("IMPORTRANGE(""https://docs.google.com/spreadsheets/d/1IYY_tgx_IHuhSq3AJ5eI5OnqOPBNLWSHKh2a30DoXe8/edit?usp=sharing"",""สุราษฎร์ธานี!J108"")"),0)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IFERROR(__xludf.DUMMYFUNCTION("IMPORTRANGE(""https://docs.google.com/spreadsheets/d/1IYY_tgx_IHuhSq3AJ5eI5OnqOPBNLWSHKh2a30DoXe8/edit?usp=sharing"",""สุราษฎร์ธานี!J109"")"),0)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IFERROR(__xludf.DUMMYFUNCTION("IMPORTRANGE(""https://docs.google.com/spreadsheets/d/1IYY_tgx_IHuhSq3AJ5eI5OnqOPBNLWSHKh2a30DoXe8/edit?usp=sharing"",""สุราษฎร์ธานี!I110"")"),0)</f>
        <v>0</v>
      </c>
      <c r="J185" s="210">
        <f ca="1">IFERROR(__xludf.DUMMYFUNCTION("IMPORTRANGE(""https://docs.google.com/spreadsheets/d/1IYY_tgx_IHuhSq3AJ5eI5OnqOPBNLWSHKh2a30DoXe8/edit?usp=sharing"",""สุราษฎร์ธานี!J110"")"),0)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IFERROR(__xludf.DUMMYFUNCTION("IMPORTRANGE(""https://docs.google.com/spreadsheets/d/1IYY_tgx_IHuhSq3AJ5eI5OnqOPBNLWSHKh2a30DoXe8/edit?usp=sharing"",""สุราษฎร์ธานี!I111"")"),0)</f>
        <v>0</v>
      </c>
      <c r="J186" s="210">
        <f ca="1">IFERROR(__xludf.DUMMYFUNCTION("IMPORTRANGE(""https://docs.google.com/spreadsheets/d/1IYY_tgx_IHuhSq3AJ5eI5OnqOPBNLWSHKh2a30DoXe8/edit?usp=sharing"",""สุราษฎร์ธานี!J111"")"),0)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IFERROR(__xludf.DUMMYFUNCTION("IMPORTRANGE(""https://docs.google.com/spreadsheets/d/1IYY_tgx_IHuhSq3AJ5eI5OnqOPBNLWSHKh2a30DoXe8/edit?usp=sharing"",""สุราษฎร์ธานี!J112"")"),0)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IFERROR(__xludf.DUMMYFUNCTION("IMPORTRANGE(""https://docs.google.com/spreadsheets/d/1IYY_tgx_IHuhSq3AJ5eI5OnqOPBNLWSHKh2a30DoXe8/edit?usp=sharing"",""สุราษฎร์ธานี!J113"")"),0)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IFERROR(__xludf.DUMMYFUNCTION("IMPORTRANGE(""https://docs.google.com/spreadsheets/d/1IYY_tgx_IHuhSq3AJ5eI5OnqOPBNLWSHKh2a30DoXe8/edit?usp=sharing"",""สุราษฎร์ธานี!I114"")"),10000)</f>
        <v>10000</v>
      </c>
      <c r="J189" s="290">
        <f ca="1">IFERROR(__xludf.DUMMYFUNCTION("IMPORTRANGE(""https://docs.google.com/spreadsheets/d/1IYY_tgx_IHuhSq3AJ5eI5OnqOPBNLWSHKh2a30DoXe8/edit?usp=sharing"",""สุราษฎร์ธานี!J114"")"),10000)</f>
        <v>10000</v>
      </c>
      <c r="K189" s="291">
        <f ca="1">IF(I189&gt;0,J189*100/I189,0)</f>
        <v>100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IFERROR(__xludf.DUMMYFUNCTION("IMPORTRANGE(""https://docs.google.com/spreadsheets/d/1IYY_tgx_IHuhSq3AJ5eI5OnqOPBNLWSHKh2a30DoXe8/edit?usp=sharing"",""สุราษฎร์ธานี!J119"")"),0)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IFERROR(__xludf.DUMMYFUNCTION("IMPORTRANGE(""https://docs.google.com/spreadsheets/d/1IYY_tgx_IHuhSq3AJ5eI5OnqOPBNLWSHKh2a30DoXe8/edit?usp=sharing"",""สุราษฎร์ธานี!J120"")"),1)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IFERROR(__xludf.DUMMYFUNCTION("IMPORTRANGE(""https://docs.google.com/spreadsheets/d/1IYY_tgx_IHuhSq3AJ5eI5OnqOPBNLWSHKh2a30DoXe8/edit?usp=sharing"",""สุราษฎร์ธานี!J121"")"),1)</f>
        <v>1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IFERROR(__xludf.DUMMYFUNCTION("IMPORTRANGE(""https://docs.google.com/spreadsheets/d/1IYY_tgx_IHuhSq3AJ5eI5OnqOPBNLWSHKh2a30DoXe8/edit?usp=sharing"",""สุราษฎร์ธานี!J122"")"),1)</f>
        <v>1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IFERROR(__xludf.DUMMYFUNCTION("IMPORTRANGE(""https://docs.google.com/spreadsheets/d/1IYY_tgx_IHuhSq3AJ5eI5OnqOPBNLWSHKh2a30DoXe8/edit?usp=sharing"",""สุราษฎร์ธานี!I124"")"),10000)</f>
        <v>10000</v>
      </c>
      <c r="J199" s="195">
        <f ca="1">IFERROR(__xludf.DUMMYFUNCTION("IMPORTRANGE(""https://docs.google.com/spreadsheets/d/1IYY_tgx_IHuhSq3AJ5eI5OnqOPBNLWSHKh2a30DoXe8/edit?usp=sharing"",""สุราษฎร์ธานี!J124"")"),10000)</f>
        <v>10000</v>
      </c>
      <c r="K199" s="167">
        <f t="shared" ref="K199:K201" ca="1" si="70">IF(I199&gt;0,J199*100/I199,0)</f>
        <v>100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IFERROR(__xludf.DUMMYFUNCTION("IMPORTRANGE(""https://docs.google.com/spreadsheets/d/1IYY_tgx_IHuhSq3AJ5eI5OnqOPBNLWSHKh2a30DoXe8/edit?usp=sharing"",""สุราษฎร์ธานี!I125"")"),10000)</f>
        <v>10000</v>
      </c>
      <c r="J200" s="195">
        <f ca="1">IFERROR(__xludf.DUMMYFUNCTION("IMPORTRANGE(""https://docs.google.com/spreadsheets/d/1IYY_tgx_IHuhSq3AJ5eI5OnqOPBNLWSHKh2a30DoXe8/edit?usp=sharing"",""สุราษฎร์ธานี!J125"")"),10000)</f>
        <v>10000</v>
      </c>
      <c r="K200" s="167">
        <f t="shared" ca="1" si="70"/>
        <v>100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IFERROR(__xludf.DUMMYFUNCTION("IMPORTRANGE(""https://docs.google.com/spreadsheets/d/1IYY_tgx_IHuhSq3AJ5eI5OnqOPBNLWSHKh2a30DoXe8/edit?usp=sharing"",""สุราษฎร์ธานี!I126"")"),0)</f>
        <v>0</v>
      </c>
      <c r="J201" s="195">
        <f ca="1">IFERROR(__xludf.DUMMYFUNCTION("IMPORTRANGE(""https://docs.google.com/spreadsheets/d/1IYY_tgx_IHuhSq3AJ5eI5OnqOPBNLWSHKh2a30DoXe8/edit?usp=sharing"",""สุราษฎร์ธานี!J126"")"),0)</f>
        <v>0</v>
      </c>
      <c r="K201" s="167">
        <f t="shared" ca="1" si="70"/>
        <v>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IFERROR(__xludf.DUMMYFUNCTION("IMPORTRANGE(""https://docs.google.com/spreadsheets/d/1IYY_tgx_IHuhSq3AJ5eI5OnqOPBNLWSHKh2a30DoXe8/edit?usp=sharing"",""สุราษฎร์ธานี!J127"")"),0)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IFERROR(__xludf.DUMMYFUNCTION("IMPORTRANGE(""https://docs.google.com/spreadsheets/d/1IYY_tgx_IHuhSq3AJ5eI5OnqOPBNLWSHKh2a30DoXe8/edit?usp=sharing"",""สุราษฎร์ธานี!J128"")"),0)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IFERROR(__xludf.DUMMYFUNCTION("IMPORTRANGE(""https://docs.google.com/spreadsheets/d/1IYY_tgx_IHuhSq3AJ5eI5OnqOPBNLWSHKh2a30DoXe8/edit?usp=sharing"",""สุราษฎร์ธานี!I129"")"),0)</f>
        <v>0</v>
      </c>
      <c r="J204" s="290">
        <f ca="1">IFERROR(__xludf.DUMMYFUNCTION("IMPORTRANGE(""https://docs.google.com/spreadsheets/d/1IYY_tgx_IHuhSq3AJ5eI5OnqOPBNLWSHKh2a30DoXe8/edit?usp=sharing"",""สุราษฎร์ธานี!J129"")"),0)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IFERROR(__xludf.DUMMYFUNCTION("IMPORTRANGE(""https://docs.google.com/spreadsheets/d/1IYY_tgx_IHuhSq3AJ5eI5OnqOPBNLWSHKh2a30DoXe8/edit?usp=sharing"",""สุราษฎร์ธานี!J134"")"),0)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IFERROR(__xludf.DUMMYFUNCTION("IMPORTRANGE(""https://docs.google.com/spreadsheets/d/1IYY_tgx_IHuhSq3AJ5eI5OnqOPBNLWSHKh2a30DoXe8/edit?usp=sharing"",""สุราษฎร์ธานี!J135"")"),0)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IFERROR(__xludf.DUMMYFUNCTION("IMPORTRANGE(""https://docs.google.com/spreadsheets/d/1IYY_tgx_IHuhSq3AJ5eI5OnqOPBNLWSHKh2a30DoXe8/edit?usp=sharing"",""สุราษฎร์ธานี!J136"")"),0)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IFERROR(__xludf.DUMMYFUNCTION("IMPORTRANGE(""https://docs.google.com/spreadsheets/d/1IYY_tgx_IHuhSq3AJ5eI5OnqOPBNLWSHKh2a30DoXe8/edit?usp=sharing"",""สุราษฎร์ธานี!J137"")"),0)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IFERROR(__xludf.DUMMYFUNCTION("IMPORTRANGE(""https://docs.google.com/spreadsheets/d/1IYY_tgx_IHuhSq3AJ5eI5OnqOPBNLWSHKh2a30DoXe8/edit?usp=sharing"",""สุราษฎร์ธานี!I138"")"),0)</f>
        <v>0</v>
      </c>
      <c r="J213" s="210">
        <f ca="1">IFERROR(__xludf.DUMMYFUNCTION("IMPORTRANGE(""https://docs.google.com/spreadsheets/d/1IYY_tgx_IHuhSq3AJ5eI5OnqOPBNLWSHKh2a30DoXe8/edit?usp=sharing"",""สุราษฎร์ธานี!J138"")"),0)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IFERROR(__xludf.DUMMYFUNCTION("IMPORTRANGE(""https://docs.google.com/spreadsheets/d/1IYY_tgx_IHuhSq3AJ5eI5OnqOPBNLWSHKh2a30DoXe8/edit?usp=sharing"",""สุราษฎร์ธานี!I140"")"),0)</f>
        <v>0</v>
      </c>
      <c r="J215" s="210">
        <f ca="1">IFERROR(__xludf.DUMMYFUNCTION("IMPORTRANGE(""https://docs.google.com/spreadsheets/d/1IYY_tgx_IHuhSq3AJ5eI5OnqOPBNLWSHKh2a30DoXe8/edit?usp=sharing"",""สุราษฎร์ธานี!J140"")"),0)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IFERROR(__xludf.DUMMYFUNCTION("IMPORTRANGE(""https://docs.google.com/spreadsheets/d/1IYY_tgx_IHuhSq3AJ5eI5OnqOPBNLWSHKh2a30DoXe8/edit?usp=sharing"",""สุราษฎร์ธานี!I141"")"),0)</f>
        <v>0</v>
      </c>
      <c r="J216" s="210">
        <f ca="1">IFERROR(__xludf.DUMMYFUNCTION("IMPORTRANGE(""https://docs.google.com/spreadsheets/d/1IYY_tgx_IHuhSq3AJ5eI5OnqOPBNLWSHKh2a30DoXe8/edit?usp=sharing"",""สุราษฎร์ธานี!J141"")"),0)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IFERROR(__xludf.DUMMYFUNCTION("IMPORTRANGE(""https://docs.google.com/spreadsheets/d/1IYY_tgx_IHuhSq3AJ5eI5OnqOPBNLWSHKh2a30DoXe8/edit?usp=sharing"",""สุราษฎร์ธานี!J142"")"),0)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IFERROR(__xludf.DUMMYFUNCTION("IMPORTRANGE(""https://docs.google.com/spreadsheets/d/1IYY_tgx_IHuhSq3AJ5eI5OnqOPBNLWSHKh2a30DoXe8/edit?usp=sharing"",""สุราษฎร์ธานี!J143"")"),0)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IFERROR(__xludf.DUMMYFUNCTION("IMPORTRANGE(""https://docs.google.com/spreadsheets/d/1IYY_tgx_IHuhSq3AJ5eI5OnqOPBNLWSHKh2a30DoXe8/edit?usp=sharing"",""สุราษฎร์ธานี!I144"")"),14)</f>
        <v>14</v>
      </c>
      <c r="J219" s="273">
        <f ca="1">IFERROR(__xludf.DUMMYFUNCTION("IMPORTRANGE(""https://docs.google.com/spreadsheets/d/1IYY_tgx_IHuhSq3AJ5eI5OnqOPBNLWSHKh2a30DoXe8/edit?usp=sharing"",""สุราษฎร์ธานี!J144"")"),14)</f>
        <v>14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2" t="s">
        <v>17</v>
      </c>
      <c r="E220" s="573"/>
      <c r="F220" s="573"/>
      <c r="G220" s="573"/>
      <c r="H220" s="153" t="s">
        <v>12</v>
      </c>
      <c r="I220" s="166"/>
      <c r="J220" s="166"/>
      <c r="K220" s="167"/>
      <c r="L220" s="156">
        <f t="shared" ref="L220:N220" ca="1" si="72">L221+L222</f>
        <v>20210</v>
      </c>
      <c r="M220" s="156">
        <f t="shared" ca="1" si="72"/>
        <v>20210</v>
      </c>
      <c r="N220" s="156">
        <f t="shared" ca="1" si="72"/>
        <v>20210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20210</v>
      </c>
      <c r="M222" s="161">
        <f t="shared" ca="1" si="76"/>
        <v>20210</v>
      </c>
      <c r="N222" s="161">
        <f t="shared" ca="1" si="76"/>
        <v>20210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3">
      <c r="A223" s="162"/>
      <c r="B223" s="163"/>
      <c r="C223" s="163" t="s">
        <v>16</v>
      </c>
      <c r="D223" s="574" t="s">
        <v>20</v>
      </c>
      <c r="E223" s="575"/>
      <c r="F223" s="575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20210</v>
      </c>
      <c r="M224" s="173">
        <f ca="1">IFERROR(__xludf.DUMMYFUNCTION("IMPORTRANGE(""https://docs.google.com/spreadsheets/d/1Yj_ptqi66GCucihVvJfMjLAmec39IyEx_6qawtMGysU/edit?usp=sharing"",""สบก!BS94"")"),20210)</f>
        <v>20210</v>
      </c>
      <c r="N224" s="174">
        <f ca="1">IFERROR(__xludf.DUMMYFUNCTION("IMPORTRANGE(""https://docs.google.com/spreadsheets/d/1Yj_ptqi66GCucihVvJfMjLAmec39IyEx_6qawtMGysU/edit?usp=sharing"",""สบก!BT94"")"),20210)</f>
        <v>20210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IFERROR(__xludf.DUMMYFUNCTION("IMPORTRANGE(""https://docs.google.com/spreadsheets/d/1Yj_ptqi66GCucihVvJfMjLAmec39IyEx_6qawtMGysU/edit?usp=sharing"",""สบก!BO94"")"),0)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IFERROR(__xludf.DUMMYFUNCTION("IMPORTRANGE(""https://docs.google.com/spreadsheets/d/1Yj_ptqi66GCucihVvJfMjLAmec39IyEx_6qawtMGysU/edit?usp=sharing"",""สบก!BP94"")"),20210)</f>
        <v>20210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6" t="s">
        <v>23</v>
      </c>
      <c r="E227" s="575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IFERROR(__xludf.DUMMYFUNCTION("IMPORTRANGE(""https://docs.google.com/spreadsheets/d/1Yj_ptqi66GCucihVvJfMjLAmec39IyEx_6qawtMGysU/edit?usp=sharing"",""สบก!BQ94"")"),0)</f>
        <v>0</v>
      </c>
      <c r="M228" s="101"/>
      <c r="N228" s="91">
        <f ca="1">IFERROR(__xludf.DUMMYFUNCTION("IMPORTRANGE(""https://docs.google.com/spreadsheets/d/1Yj_ptqi66GCucihVvJfMjLAmec39IyEx_6qawtMGysU/edit?usp=sharing"",""สบก!BU94"")"),0)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IFERROR(__xludf.DUMMYFUNCTION("IMPORTRANGE(""https://docs.google.com/spreadsheets/d/1IYY_tgx_IHuhSq3AJ5eI5OnqOPBNLWSHKh2a30DoXe8/edit?usp=sharing"",""สุราษฎร์ธานี!I149"")"),14)</f>
        <v>14</v>
      </c>
      <c r="J229" s="273">
        <f ca="1">IFERROR(__xludf.DUMMYFUNCTION("IMPORTRANGE(""https://docs.google.com/spreadsheets/d/1IYY_tgx_IHuhSq3AJ5eI5OnqOPBNLWSHKh2a30DoXe8/edit?usp=sharing"",""สุราษฎร์ธานี!J149"")"),14)</f>
        <v>14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IFERROR(__xludf.DUMMYFUNCTION("IMPORTRANGE(""https://docs.google.com/spreadsheets/d/1IYY_tgx_IHuhSq3AJ5eI5OnqOPBNLWSHKh2a30DoXe8/edit?usp=sharing"",""สุราษฎร์ธานี!J151"")"),0)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IFERROR(__xludf.DUMMYFUNCTION("IMPORTRANGE(""https://docs.google.com/spreadsheets/d/1IYY_tgx_IHuhSq3AJ5eI5OnqOPBNLWSHKh2a30DoXe8/edit?usp=sharing"",""สุราษฎร์ธานี!J152"")"),1)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IFERROR(__xludf.DUMMYFUNCTION("IMPORTRANGE(""https://docs.google.com/spreadsheets/d/1IYY_tgx_IHuhSq3AJ5eI5OnqOPBNLWSHKh2a30DoXe8/edit?usp=sharing"",""สุราษฎร์ธานี!J153"")"),0)</f>
        <v>0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IFERROR(__xludf.DUMMYFUNCTION("IMPORTRANGE(""https://docs.google.com/spreadsheets/d/1IYY_tgx_IHuhSq3AJ5eI5OnqOPBNLWSHKh2a30DoXe8/edit?usp=sharing"",""สุราษฎร์ธานี!J154"")"),0)</f>
        <v>0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IFERROR(__xludf.DUMMYFUNCTION("IMPORTRANGE(""https://docs.google.com/spreadsheets/d/1IYY_tgx_IHuhSq3AJ5eI5OnqOPBNLWSHKh2a30DoXe8/edit?usp=sharing"",""สุราษฎร์ธานี!I155"")"),14)</f>
        <v>14</v>
      </c>
      <c r="J235" s="195">
        <f ca="1">IFERROR(__xludf.DUMMYFUNCTION("IMPORTRANGE(""https://docs.google.com/spreadsheets/d/1IYY_tgx_IHuhSq3AJ5eI5OnqOPBNLWSHKh2a30DoXe8/edit?usp=sharing"",""สุราษฎร์ธานี!J155"")"),14)</f>
        <v>14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IFERROR(__xludf.DUMMYFUNCTION("IMPORTRANGE(""https://docs.google.com/spreadsheets/d/1IYY_tgx_IHuhSq3AJ5eI5OnqOPBNLWSHKh2a30DoXe8/edit?usp=sharing"",""สุราษฎร์ธานี!J156"")"),1)</f>
        <v>1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IFERROR(__xludf.DUMMYFUNCTION("IMPORTRANGE(""https://docs.google.com/spreadsheets/d/1IYY_tgx_IHuhSq3AJ5eI5OnqOPBNLWSHKh2a30DoXe8/edit?usp=sharing"",""สุราษฎร์ธานี!J157"")"),1)</f>
        <v>1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IFERROR(__xludf.DUMMYFUNCTION("IMPORTRANGE(""https://docs.google.com/spreadsheets/d/1IYY_tgx_IHuhSq3AJ5eI5OnqOPBNLWSHKh2a30DoXe8/edit?usp=sharing"",""สุราษฎร์ธานี!I158"")"),0)</f>
        <v>0</v>
      </c>
      <c r="J238" s="273">
        <f ca="1">IFERROR(__xludf.DUMMYFUNCTION("IMPORTRANGE(""https://docs.google.com/spreadsheets/d/1IYY_tgx_IHuhSq3AJ5eI5OnqOPBNLWSHKh2a30DoXe8/edit?usp=sharing"",""สุราษฎร์ธานี!J158"")"),0)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IFERROR(__xludf.DUMMYFUNCTION("IMPORTRANGE(""https://docs.google.com/spreadsheets/d/1IYY_tgx_IHuhSq3AJ5eI5OnqOPBNLWSHKh2a30DoXe8/edit?usp=sharing"",""สุราษฎร์ธานี!J159"")"),"")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IFERROR(__xludf.DUMMYFUNCTION("IMPORTRANGE(""https://docs.google.com/spreadsheets/d/1IYY_tgx_IHuhSq3AJ5eI5OnqOPBNLWSHKh2a30DoXe8/edit?usp=sharing"",""สุราษฎร์ธานี!J161"")"),0)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IFERROR(__xludf.DUMMYFUNCTION("IMPORTRANGE(""https://docs.google.com/spreadsheets/d/1IYY_tgx_IHuhSq3AJ5eI5OnqOPBNLWSHKh2a30DoXe8/edit?usp=sharing"",""สุราษฎร์ธานี!J162"")"),0)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IFERROR(__xludf.DUMMYFUNCTION("IMPORTRANGE(""https://docs.google.com/spreadsheets/d/1IYY_tgx_IHuhSq3AJ5eI5OnqOPBNLWSHKh2a30DoXe8/edit?usp=sharing"",""สุราษฎร์ธานี!J163"")"),0)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IFERROR(__xludf.DUMMYFUNCTION("IMPORTRANGE(""https://docs.google.com/spreadsheets/d/1IYY_tgx_IHuhSq3AJ5eI5OnqOPBNLWSHKh2a30DoXe8/edit?usp=sharing"",""สุราษฎร์ธานี!I164"")"),0)</f>
        <v>0</v>
      </c>
      <c r="J244" s="194">
        <f ca="1">IFERROR(__xludf.DUMMYFUNCTION("IMPORTRANGE(""https://docs.google.com/spreadsheets/d/1IYY_tgx_IHuhSq3AJ5eI5OnqOPBNLWSHKh2a30DoXe8/edit?usp=sharing"",""สุราษฎร์ธานี!J164"")"),0)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IFERROR(__xludf.DUMMYFUNCTION("IMPORTRANGE(""https://docs.google.com/spreadsheets/d/1IYY_tgx_IHuhSq3AJ5eI5OnqOPBNLWSHKh2a30DoXe8/edit?usp=sharing"",""สุราษฎร์ธานี!J165"")"),0)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IFERROR(__xludf.DUMMYFUNCTION("IMPORTRANGE(""https://docs.google.com/spreadsheets/d/1IYY_tgx_IHuhSq3AJ5eI5OnqOPBNLWSHKh2a30DoXe8/edit?usp=sharing"",""สุราษฎร์ธานี!J166"")"),0)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IFERROR(__xludf.DUMMYFUNCTION("IMPORTRANGE(""https://docs.google.com/spreadsheets/d/1IYY_tgx_IHuhSq3AJ5eI5OnqOPBNLWSHKh2a30DoXe8/edit?usp=sharing"",""สุราษฎร์ธานี!I169"")"),25)</f>
        <v>25</v>
      </c>
      <c r="J249" s="322">
        <f ca="1">IFERROR(__xludf.DUMMYFUNCTION("IMPORTRANGE(""https://docs.google.com/spreadsheets/d/1IYY_tgx_IHuhSq3AJ5eI5OnqOPBNLWSHKh2a30DoXe8/edit?usp=sharing"",""สุราษฎร์ธานี!J169"")"),25)</f>
        <v>25</v>
      </c>
      <c r="K249" s="323">
        <f ca="1">IF(I249&gt;0,J249*100/I249,0)</f>
        <v>100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2" t="s">
        <v>17</v>
      </c>
      <c r="E250" s="573"/>
      <c r="F250" s="573"/>
      <c r="G250" s="573"/>
      <c r="H250" s="153" t="s">
        <v>12</v>
      </c>
      <c r="I250" s="166"/>
      <c r="J250" s="166"/>
      <c r="K250" s="167"/>
      <c r="L250" s="156">
        <f t="shared" ref="L250:N250" ca="1" si="77">L251+L252</f>
        <v>89000</v>
      </c>
      <c r="M250" s="156">
        <f t="shared" ca="1" si="77"/>
        <v>89000</v>
      </c>
      <c r="N250" s="156">
        <f t="shared" ca="1" si="77"/>
        <v>87840</v>
      </c>
      <c r="O250" s="155">
        <f t="shared" ref="O250:O252" ca="1" si="78">IF(L250&gt;0,N250*100/L250,0)</f>
        <v>98.696629213483149</v>
      </c>
      <c r="P250" s="155">
        <f t="shared" ref="P250:P252" ca="1" si="79">IF(M250&gt;0,N250*100/M250,0)</f>
        <v>98.696629213483149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89000</v>
      </c>
      <c r="M252" s="161">
        <f t="shared" ca="1" si="81"/>
        <v>89000</v>
      </c>
      <c r="N252" s="161">
        <f t="shared" ca="1" si="81"/>
        <v>87840</v>
      </c>
      <c r="O252" s="160">
        <f t="shared" ca="1" si="78"/>
        <v>98.696629213483149</v>
      </c>
      <c r="P252" s="160">
        <f t="shared" ca="1" si="79"/>
        <v>98.696629213483149</v>
      </c>
    </row>
    <row r="253" spans="1:16" ht="21.75" customHeight="1" x14ac:dyDescent="0.3">
      <c r="A253" s="162"/>
      <c r="B253" s="163"/>
      <c r="C253" s="163" t="s">
        <v>16</v>
      </c>
      <c r="D253" s="574" t="s">
        <v>20</v>
      </c>
      <c r="E253" s="575"/>
      <c r="F253" s="575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89000</v>
      </c>
      <c r="M254" s="173">
        <f ca="1">IFERROR(__xludf.DUMMYFUNCTION("IMPORTRANGE(""https://docs.google.com/spreadsheets/d/1Yj_ptqi66GCucihVvJfMjLAmec39IyEx_6qawtMGysU/edit?usp=sharing"",""สบก!CB94"")"),89000)</f>
        <v>89000</v>
      </c>
      <c r="N254" s="174">
        <f ca="1">IFERROR(__xludf.DUMMYFUNCTION("IMPORTRANGE(""https://docs.google.com/spreadsheets/d/1Yj_ptqi66GCucihVvJfMjLAmec39IyEx_6qawtMGysU/edit?usp=sharing"",""สบก!CC94"")"),87840)</f>
        <v>87840</v>
      </c>
      <c r="O254" s="175">
        <f ca="1">IF(L254&gt;0,N254*100/L254,0)</f>
        <v>98.696629213483149</v>
      </c>
      <c r="P254" s="175">
        <f ca="1">IF(M254&gt;0,N254*100/M254,0)</f>
        <v>98.696629213483149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IFERROR(__xludf.DUMMYFUNCTION("IMPORTRANGE(""https://docs.google.com/spreadsheets/d/1Yj_ptqi66GCucihVvJfMjLAmec39IyEx_6qawtMGysU/edit?usp=sharing"",""สบก!BX94"")"),0)</f>
        <v>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IFERROR(__xludf.DUMMYFUNCTION("IMPORTRANGE(""https://docs.google.com/spreadsheets/d/1Yj_ptqi66GCucihVvJfMjLAmec39IyEx_6qawtMGysU/edit?usp=sharing"",""สบก!BY94"")"),89000)</f>
        <v>89000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6" t="s">
        <v>23</v>
      </c>
      <c r="E257" s="575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IFERROR(__xludf.DUMMYFUNCTION("IMPORTRANGE(""https://docs.google.com/spreadsheets/d/1Yj_ptqi66GCucihVvJfMjLAmec39IyEx_6qawtMGysU/edit?usp=sharing"",""สบก!BZ94"")"),0)</f>
        <v>0</v>
      </c>
      <c r="M258" s="101"/>
      <c r="N258" s="91">
        <f ca="1">IFERROR(__xludf.DUMMYFUNCTION("IMPORTRANGE(""https://docs.google.com/spreadsheets/d/1Yj_ptqi66GCucihVvJfMjLAmec39IyEx_6qawtMGysU/edit?usp=sharing"",""สบก!CD94"")"),0)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IFERROR(__xludf.DUMMYFUNCTION("IMPORTRANGE(""https://docs.google.com/spreadsheets/d/1IYY_tgx_IHuhSq3AJ5eI5OnqOPBNLWSHKh2a30DoXe8/edit?usp=sharing"",""สุราษฎร์ธานี!J175"")"),0)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IFERROR(__xludf.DUMMYFUNCTION("IMPORTRANGE(""https://docs.google.com/spreadsheets/d/1IYY_tgx_IHuhSq3AJ5eI5OnqOPBNLWSHKh2a30DoXe8/edit?usp=sharing"",""สุราษฎร์ธานี!J176"")"),1)</f>
        <v>1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IFERROR(__xludf.DUMMYFUNCTION("IMPORTRANGE(""https://docs.google.com/spreadsheets/d/1IYY_tgx_IHuhSq3AJ5eI5OnqOPBNLWSHKh2a30DoXe8/edit?usp=sharing"",""สุราษฎร์ธานี!J177"")"),1)</f>
        <v>1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IFERROR(__xludf.DUMMYFUNCTION("IMPORTRANGE(""https://docs.google.com/spreadsheets/d/1IYY_tgx_IHuhSq3AJ5eI5OnqOPBNLWSHKh2a30DoXe8/edit?usp=sharing"",""สุราษฎร์ธานี!J178"")"),1)</f>
        <v>1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IFERROR(__xludf.DUMMYFUNCTION("IMPORTRANGE(""https://docs.google.com/spreadsheets/d/1IYY_tgx_IHuhSq3AJ5eI5OnqOPBNLWSHKh2a30DoXe8/edit?usp=sharing"",""สุราษฎร์ธานี!I179"")"),1)</f>
        <v>1</v>
      </c>
      <c r="J264" s="195">
        <f ca="1">IFERROR(__xludf.DUMMYFUNCTION("IMPORTRANGE(""https://docs.google.com/spreadsheets/d/1IYY_tgx_IHuhSq3AJ5eI5OnqOPBNLWSHKh2a30DoXe8/edit?usp=sharing"",""สุราษฎร์ธานี!J179"")"),1)</f>
        <v>1</v>
      </c>
      <c r="K264" s="167">
        <f t="shared" ref="K264:K267" ca="1" si="82">IF(I264&gt;0,J264*100/I264,0)</f>
        <v>100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IFERROR(__xludf.DUMMYFUNCTION("IMPORTRANGE(""https://docs.google.com/spreadsheets/d/1IYY_tgx_IHuhSq3AJ5eI5OnqOPBNLWSHKh2a30DoXe8/edit?usp=sharing"",""สุราษฎร์ธานี!I180"")"),25)</f>
        <v>25</v>
      </c>
      <c r="J265" s="195">
        <f ca="1">IFERROR(__xludf.DUMMYFUNCTION("IMPORTRANGE(""https://docs.google.com/spreadsheets/d/1IYY_tgx_IHuhSq3AJ5eI5OnqOPBNLWSHKh2a30DoXe8/edit?usp=sharing"",""สุราษฎร์ธานี!J180"")"),25)</f>
        <v>25</v>
      </c>
      <c r="K265" s="167">
        <f t="shared" ca="1" si="82"/>
        <v>100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IFERROR(__xludf.DUMMYFUNCTION("IMPORTRANGE(""https://docs.google.com/spreadsheets/d/1IYY_tgx_IHuhSq3AJ5eI5OnqOPBNLWSHKh2a30DoXe8/edit?usp=sharing"",""สุราษฎร์ธานี!I181"")"),25)</f>
        <v>25</v>
      </c>
      <c r="J266" s="195">
        <f ca="1">IFERROR(__xludf.DUMMYFUNCTION("IMPORTRANGE(""https://docs.google.com/spreadsheets/d/1IYY_tgx_IHuhSq3AJ5eI5OnqOPBNLWSHKh2a30DoXe8/edit?usp=sharing"",""สุราษฎร์ธานี!J181"")"),25)</f>
        <v>25</v>
      </c>
      <c r="K266" s="167">
        <f t="shared" ca="1" si="82"/>
        <v>100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IFERROR(__xludf.DUMMYFUNCTION("IMPORTRANGE(""https://docs.google.com/spreadsheets/d/1IYY_tgx_IHuhSq3AJ5eI5OnqOPBNLWSHKh2a30DoXe8/edit?usp=sharing"",""สุราษฎร์ธานี!I182"")"),1)</f>
        <v>1</v>
      </c>
      <c r="J267" s="195">
        <f ca="1">IFERROR(__xludf.DUMMYFUNCTION("IMPORTRANGE(""https://docs.google.com/spreadsheets/d/1IYY_tgx_IHuhSq3AJ5eI5OnqOPBNLWSHKh2a30DoXe8/edit?usp=sharing"",""สุราษฎร์ธานี!J182"")"),1)</f>
        <v>1</v>
      </c>
      <c r="K267" s="167">
        <f t="shared" ca="1" si="82"/>
        <v>100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IFERROR(__xludf.DUMMYFUNCTION("IMPORTRANGE(""https://docs.google.com/spreadsheets/d/1IYY_tgx_IHuhSq3AJ5eI5OnqOPBNLWSHKh2a30DoXe8/edit?usp=sharing"",""สุราษฎร์ธานี!J183"")"),1)</f>
        <v>1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IFERROR(__xludf.DUMMYFUNCTION("IMPORTRANGE(""https://docs.google.com/spreadsheets/d/1IYY_tgx_IHuhSq3AJ5eI5OnqOPBNLWSHKh2a30DoXe8/edit?usp=sharing"",""สุราษฎร์ธานี!J184"")"),1)</f>
        <v>1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IFERROR(__xludf.DUMMYFUNCTION("IMPORTRANGE(""https://docs.google.com/spreadsheets/d/1IYY_tgx_IHuhSq3AJ5eI5OnqOPBNLWSHKh2a30DoXe8/edit?usp=sharing"",""สุราษฎร์ธานี!I185"")"),20)</f>
        <v>20</v>
      </c>
      <c r="J270" s="322">
        <f ca="1">IFERROR(__xludf.DUMMYFUNCTION("IMPORTRANGE(""https://docs.google.com/spreadsheets/d/1IYY_tgx_IHuhSq3AJ5eI5OnqOPBNLWSHKh2a30DoXe8/edit?usp=sharing"",""สุราษฎร์ธานี!J185"")"),20)</f>
        <v>20</v>
      </c>
      <c r="K270" s="323">
        <f ca="1">IF(I270&gt;0,J270*100/I270,0)</f>
        <v>100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2" t="s">
        <v>17</v>
      </c>
      <c r="E271" s="573"/>
      <c r="F271" s="573"/>
      <c r="G271" s="573"/>
      <c r="H271" s="153" t="s">
        <v>12</v>
      </c>
      <c r="I271" s="166"/>
      <c r="J271" s="166"/>
      <c r="K271" s="167"/>
      <c r="L271" s="156">
        <f t="shared" ref="L271:N271" ca="1" si="83">L272+L273</f>
        <v>465380</v>
      </c>
      <c r="M271" s="156">
        <f t="shared" ca="1" si="83"/>
        <v>465380</v>
      </c>
      <c r="N271" s="156">
        <f t="shared" ca="1" si="83"/>
        <v>395176.84</v>
      </c>
      <c r="O271" s="155">
        <f t="shared" ref="O271:O273" ca="1" si="84">IF(L271&gt;0,N271*100/L271,0)</f>
        <v>84.914873866517681</v>
      </c>
      <c r="P271" s="155">
        <f t="shared" ref="P271:P273" ca="1" si="85">IF(M271&gt;0,N271*100/M271,0)</f>
        <v>84.914873866517681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465380</v>
      </c>
      <c r="M273" s="161">
        <f t="shared" ca="1" si="87"/>
        <v>465380</v>
      </c>
      <c r="N273" s="161">
        <f t="shared" ca="1" si="87"/>
        <v>395176.84</v>
      </c>
      <c r="O273" s="160">
        <f t="shared" ca="1" si="84"/>
        <v>84.914873866517681</v>
      </c>
      <c r="P273" s="160">
        <f t="shared" ca="1" si="85"/>
        <v>84.914873866517681</v>
      </c>
    </row>
    <row r="274" spans="1:16" ht="21.75" customHeight="1" x14ac:dyDescent="0.3">
      <c r="A274" s="162"/>
      <c r="B274" s="163"/>
      <c r="C274" s="163" t="s">
        <v>16</v>
      </c>
      <c r="D274" s="574" t="s">
        <v>20</v>
      </c>
      <c r="E274" s="575"/>
      <c r="F274" s="575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465380</v>
      </c>
      <c r="M275" s="173">
        <f ca="1">IFERROR(__xludf.DUMMYFUNCTION("IMPORTRANGE(""https://docs.google.com/spreadsheets/d/1Yj_ptqi66GCucihVvJfMjLAmec39IyEx_6qawtMGysU/edit?usp=sharing"",""สบก!CK94"")"),465380)</f>
        <v>465380</v>
      </c>
      <c r="N275" s="174">
        <f ca="1">IFERROR(__xludf.DUMMYFUNCTION("IMPORTRANGE(""https://docs.google.com/spreadsheets/d/1Yj_ptqi66GCucihVvJfMjLAmec39IyEx_6qawtMGysU/edit?usp=sharing"",""สบก!CL94"")"),395176.84)</f>
        <v>395176.84</v>
      </c>
      <c r="O275" s="175">
        <f ca="1">IF(L275&gt;0,N275*100/L275,0)</f>
        <v>84.914873866517681</v>
      </c>
      <c r="P275" s="175">
        <f ca="1">IF(M275&gt;0,N275*100/M275,0)</f>
        <v>84.914873866517681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IFERROR(__xludf.DUMMYFUNCTION("IMPORTRANGE(""https://docs.google.com/spreadsheets/d/1Yj_ptqi66GCucihVvJfMjLAmec39IyEx_6qawtMGysU/edit?usp=sharing"",""สบก!CG94"")"),264000)</f>
        <v>264000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IFERROR(__xludf.DUMMYFUNCTION("IMPORTRANGE(""https://docs.google.com/spreadsheets/d/1Yj_ptqi66GCucihVvJfMjLAmec39IyEx_6qawtMGysU/edit?usp=sharing"",""สบก!CH94"")"),201380)</f>
        <v>201380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6" t="s">
        <v>23</v>
      </c>
      <c r="E278" s="575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IFERROR(__xludf.DUMMYFUNCTION("IMPORTRANGE(""https://docs.google.com/spreadsheets/d/1Yj_ptqi66GCucihVvJfMjLAmec39IyEx_6qawtMGysU/edit?usp=sharing"",""สบก!CI94"")"),0)</f>
        <v>0</v>
      </c>
      <c r="M279" s="101"/>
      <c r="N279" s="91">
        <f ca="1">IFERROR(__xludf.DUMMYFUNCTION("IMPORTRANGE(""https://docs.google.com/spreadsheets/d/1Yj_ptqi66GCucihVvJfMjLAmec39IyEx_6qawtMGysU/edit?usp=sharing"",""สบก!CM94"")"),0)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IFERROR(__xludf.DUMMYFUNCTION("IMPORTRANGE(""https://docs.google.com/spreadsheets/d/1IYY_tgx_IHuhSq3AJ5eI5OnqOPBNLWSHKh2a30DoXe8/edit?usp=sharing"",""สุราษฎร์ธานี!J191"")"),0)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IFERROR(__xludf.DUMMYFUNCTION("IMPORTRANGE(""https://docs.google.com/spreadsheets/d/1IYY_tgx_IHuhSq3AJ5eI5OnqOPBNLWSHKh2a30DoXe8/edit?usp=sharing"",""สุราษฎร์ธานี!J192"")"),1)</f>
        <v>1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IFERROR(__xludf.DUMMYFUNCTION("IMPORTRANGE(""https://docs.google.com/spreadsheets/d/1IYY_tgx_IHuhSq3AJ5eI5OnqOPBNLWSHKh2a30DoXe8/edit?usp=sharing"",""สุราษฎร์ธานี!J193"")"),1)</f>
        <v>1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IFERROR(__xludf.DUMMYFUNCTION("IMPORTRANGE(""https://docs.google.com/spreadsheets/d/1IYY_tgx_IHuhSq3AJ5eI5OnqOPBNLWSHKh2a30DoXe8/edit?usp=sharing"",""สุราษฎร์ธานี!J194"")"),1)</f>
        <v>1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IFERROR(__xludf.DUMMYFUNCTION("IMPORTRANGE(""https://docs.google.com/spreadsheets/d/1IYY_tgx_IHuhSq3AJ5eI5OnqOPBNLWSHKh2a30DoXe8/edit?usp=sharing"",""สุราษฎร์ธานี!I195"")"),20)</f>
        <v>20</v>
      </c>
      <c r="J285" s="195">
        <f ca="1">IFERROR(__xludf.DUMMYFUNCTION("IMPORTRANGE(""https://docs.google.com/spreadsheets/d/1IYY_tgx_IHuhSq3AJ5eI5OnqOPBNLWSHKh2a30DoXe8/edit?usp=sharing"",""สุราษฎร์ธานี!J195"")"),20)</f>
        <v>20</v>
      </c>
      <c r="K285" s="167">
        <f ca="1">IF(I285&gt;0,J285*100/I285,0)</f>
        <v>100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IFERROR(__xludf.DUMMYFUNCTION("IMPORTRANGE(""https://docs.google.com/spreadsheets/d/1IYY_tgx_IHuhSq3AJ5eI5OnqOPBNLWSHKh2a30DoXe8/edit?usp=sharing"",""สุราษฎร์ธานี!J196"")"),1)</f>
        <v>1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IFERROR(__xludf.DUMMYFUNCTION("IMPORTRANGE(""https://docs.google.com/spreadsheets/d/1IYY_tgx_IHuhSq3AJ5eI5OnqOPBNLWSHKh2a30DoXe8/edit?usp=sharing"",""สุราษฎร์ธานี!J197"")"),1)</f>
        <v>1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IFERROR(__xludf.DUMMYFUNCTION("IMPORTRANGE(""https://docs.google.com/spreadsheets/d/1IYY_tgx_IHuhSq3AJ5eI5OnqOPBNLWSHKh2a30DoXe8/edit?usp=sharing"",""สุราษฎร์ธานี!I199"")"),15)</f>
        <v>15</v>
      </c>
      <c r="J289" s="322">
        <f ca="1">IFERROR(__xludf.DUMMYFUNCTION("IMPORTRANGE(""https://docs.google.com/spreadsheets/d/1IYY_tgx_IHuhSq3AJ5eI5OnqOPBNLWSHKh2a30DoXe8/edit?usp=sharing"",""สุราษฎร์ธานี!J199"")"),15)</f>
        <v>15</v>
      </c>
      <c r="K289" s="323">
        <f ca="1">IF(I289&gt;0,J289*100/I289,0)</f>
        <v>100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2" t="s">
        <v>17</v>
      </c>
      <c r="E290" s="573"/>
      <c r="F290" s="573"/>
      <c r="G290" s="573"/>
      <c r="H290" s="153" t="s">
        <v>12</v>
      </c>
      <c r="I290" s="194"/>
      <c r="J290" s="194"/>
      <c r="K290" s="230"/>
      <c r="L290" s="156">
        <f t="shared" ref="L290:N290" ca="1" si="88">L291+L292</f>
        <v>84260</v>
      </c>
      <c r="M290" s="156">
        <f t="shared" ca="1" si="88"/>
        <v>84260</v>
      </c>
      <c r="N290" s="156">
        <f t="shared" ca="1" si="88"/>
        <v>84260</v>
      </c>
      <c r="O290" s="155">
        <f t="shared" ref="O290:O292" ca="1" si="89">IF(L290&gt;0,N290*100/L290,0)</f>
        <v>100</v>
      </c>
      <c r="P290" s="155">
        <f t="shared" ref="P290:P292" ca="1" si="90">IF(M290&gt;0,N290*100/M290,0)</f>
        <v>100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84260</v>
      </c>
      <c r="M292" s="161">
        <f t="shared" ca="1" si="92"/>
        <v>84260</v>
      </c>
      <c r="N292" s="161">
        <f t="shared" ca="1" si="92"/>
        <v>84260</v>
      </c>
      <c r="O292" s="160">
        <f t="shared" ca="1" si="89"/>
        <v>100</v>
      </c>
      <c r="P292" s="160">
        <f t="shared" ca="1" si="90"/>
        <v>100</v>
      </c>
    </row>
    <row r="293" spans="1:16" ht="21.75" customHeight="1" x14ac:dyDescent="0.3">
      <c r="A293" s="162"/>
      <c r="B293" s="163"/>
      <c r="C293" s="163" t="s">
        <v>16</v>
      </c>
      <c r="D293" s="574" t="s">
        <v>20</v>
      </c>
      <c r="E293" s="575"/>
      <c r="F293" s="575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72260</v>
      </c>
      <c r="M294" s="173">
        <f ca="1">IFERROR(__xludf.DUMMYFUNCTION("IMPORTRANGE(""https://docs.google.com/spreadsheets/d/1Yj_ptqi66GCucihVvJfMjLAmec39IyEx_6qawtMGysU/edit?usp=sharing"",""สบก!CT94"")"),72260)</f>
        <v>72260</v>
      </c>
      <c r="N294" s="174">
        <f ca="1">IFERROR(__xludf.DUMMYFUNCTION("IMPORTRANGE(""https://docs.google.com/spreadsheets/d/1Yj_ptqi66GCucihVvJfMjLAmec39IyEx_6qawtMGysU/edit?usp=sharing"",""สบก!CU94"")"),72260)</f>
        <v>72260</v>
      </c>
      <c r="O294" s="175">
        <f ca="1">IF(L294&gt;0,N294*100/L294,0)</f>
        <v>100</v>
      </c>
      <c r="P294" s="175">
        <f ca="1">IF(M294&gt;0,N294*100/M294,0)</f>
        <v>100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IFERROR(__xludf.DUMMYFUNCTION("IMPORTRANGE(""https://docs.google.com/spreadsheets/d/1Yj_ptqi66GCucihVvJfMjLAmec39IyEx_6qawtMGysU/edit?usp=sharing"",""สบก!CP94"")"),0)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IFERROR(__xludf.DUMMYFUNCTION("IMPORTRANGE(""https://docs.google.com/spreadsheets/d/1Yj_ptqi66GCucihVvJfMjLAmec39IyEx_6qawtMGysU/edit?usp=sharing"",""สบก!CQ94"")"),72260)</f>
        <v>72260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6" t="s">
        <v>23</v>
      </c>
      <c r="E297" s="575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IFERROR(__xludf.DUMMYFUNCTION("IMPORTRANGE(""https://docs.google.com/spreadsheets/d/1Yj_ptqi66GCucihVvJfMjLAmec39IyEx_6qawtMGysU/edit?usp=sharing"",""สบก!CR94"")"),12000)</f>
        <v>12000</v>
      </c>
      <c r="M298" s="101">
        <f ca="1">L298</f>
        <v>12000</v>
      </c>
      <c r="N298" s="91">
        <f ca="1">IFERROR(__xludf.DUMMYFUNCTION("IMPORTRANGE(""https://docs.google.com/spreadsheets/d/1Yj_ptqi66GCucihVvJfMjLAmec39IyEx_6qawtMGysU/edit?usp=sharing"",""สบก!CV94"")"),12000)</f>
        <v>12000</v>
      </c>
      <c r="O298" s="101">
        <f ca="1">IF(L298&gt;0,N298*100/L298,0)</f>
        <v>100</v>
      </c>
      <c r="P298" s="101">
        <f ca="1">IF(M298&gt;0,N298*100/M298,0)</f>
        <v>100</v>
      </c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IFERROR(__xludf.DUMMYFUNCTION("IMPORTRANGE(""https://docs.google.com/spreadsheets/d/1IYY_tgx_IHuhSq3AJ5eI5OnqOPBNLWSHKh2a30DoXe8/edit?usp=sharing"",""สุราษฎร์ธานี!J205"")"),0)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IFERROR(__xludf.DUMMYFUNCTION("IMPORTRANGE(""https://docs.google.com/spreadsheets/d/1IYY_tgx_IHuhSq3AJ5eI5OnqOPBNLWSHKh2a30DoXe8/edit?usp=sharing"",""สุราษฎร์ธานี!J206"")"),1)</f>
        <v>1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IFERROR(__xludf.DUMMYFUNCTION("IMPORTRANGE(""https://docs.google.com/spreadsheets/d/1IYY_tgx_IHuhSq3AJ5eI5OnqOPBNLWSHKh2a30DoXe8/edit?usp=sharing"",""สุราษฎร์ธานี!J207"")"),1)</f>
        <v>1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IFERROR(__xludf.DUMMYFUNCTION("IMPORTRANGE(""https://docs.google.com/spreadsheets/d/1IYY_tgx_IHuhSq3AJ5eI5OnqOPBNLWSHKh2a30DoXe8/edit?usp=sharing"",""สุราษฎร์ธานี!J208"")"),1)</f>
        <v>1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IFERROR(__xludf.DUMMYFUNCTION("IMPORTRANGE(""https://docs.google.com/spreadsheets/d/1IYY_tgx_IHuhSq3AJ5eI5OnqOPBNLWSHKh2a30DoXe8/edit?usp=sharing"",""สุราษฎร์ธานี!I209"")"),15)</f>
        <v>15</v>
      </c>
      <c r="J304" s="210">
        <f ca="1">IFERROR(__xludf.DUMMYFUNCTION("IMPORTRANGE(""https://docs.google.com/spreadsheets/d/1IYY_tgx_IHuhSq3AJ5eI5OnqOPBNLWSHKh2a30DoXe8/edit?usp=sharing"",""สุราษฎร์ธานี!J209"")"),15)</f>
        <v>15</v>
      </c>
      <c r="K304" s="230">
        <f ca="1">IF(I304&gt;0,J304*100/I304,0)</f>
        <v>100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IFERROR(__xludf.DUMMYFUNCTION("IMPORTRANGE(""https://docs.google.com/spreadsheets/d/1IYY_tgx_IHuhSq3AJ5eI5OnqOPBNLWSHKh2a30DoXe8/edit?usp=sharing"",""สุราษฎร์ธานี!I211"")"),15)</f>
        <v>15</v>
      </c>
      <c r="J306" s="210">
        <f ca="1">IFERROR(__xludf.DUMMYFUNCTION("IMPORTRANGE(""https://docs.google.com/spreadsheets/d/1IYY_tgx_IHuhSq3AJ5eI5OnqOPBNLWSHKh2a30DoXe8/edit?usp=sharing"",""สุราษฎร์ธานี!J211"")"),15)</f>
        <v>15</v>
      </c>
      <c r="K306" s="230">
        <f ca="1">IF(I306&gt;0,J306*100/I306,0)</f>
        <v>100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IFERROR(__xludf.DUMMYFUNCTION("IMPORTRANGE(""https://docs.google.com/spreadsheets/d/1IYY_tgx_IHuhSq3AJ5eI5OnqOPBNLWSHKh2a30DoXe8/edit?usp=sharing"",""สุราษฎร์ธานี!J212"")"),1)</f>
        <v>1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IFERROR(__xludf.DUMMYFUNCTION("IMPORTRANGE(""https://docs.google.com/spreadsheets/d/1IYY_tgx_IHuhSq3AJ5eI5OnqOPBNLWSHKh2a30DoXe8/edit?usp=sharing"",""สุราษฎร์ธานี!J213"")"),1)</f>
        <v>1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IFERROR(__xludf.DUMMYFUNCTION("IMPORTRANGE(""https://docs.google.com/spreadsheets/d/1IYY_tgx_IHuhSq3AJ5eI5OnqOPBNLWSHKh2a30DoXe8/edit?usp=sharing"",""สุราษฎร์ธานี!I214"")"),1)</f>
        <v>1</v>
      </c>
      <c r="J309" s="339">
        <f ca="1">IFERROR(__xludf.DUMMYFUNCTION("IMPORTRANGE(""https://docs.google.com/spreadsheets/d/1IYY_tgx_IHuhSq3AJ5eI5OnqOPBNLWSHKh2a30DoXe8/edit?usp=sharing"",""สุราษฎร์ธานี!J214"")"),1)</f>
        <v>1</v>
      </c>
      <c r="K309" s="340">
        <f ca="1">IF(I309&gt;0,J309*100/I309,0)</f>
        <v>100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2" t="s">
        <v>17</v>
      </c>
      <c r="E310" s="573"/>
      <c r="F310" s="573"/>
      <c r="G310" s="573"/>
      <c r="H310" s="153" t="s">
        <v>12</v>
      </c>
      <c r="I310" s="342"/>
      <c r="J310" s="342"/>
      <c r="K310" s="343"/>
      <c r="L310" s="156">
        <f t="shared" ref="L310:N310" ca="1" si="93">L311+L312</f>
        <v>278600</v>
      </c>
      <c r="M310" s="156">
        <f t="shared" ca="1" si="93"/>
        <v>278600</v>
      </c>
      <c r="N310" s="156">
        <f t="shared" ca="1" si="93"/>
        <v>268600</v>
      </c>
      <c r="O310" s="155">
        <f t="shared" ref="O310:O312" ca="1" si="94">IF(L310&gt;0,N310*100/L310,0)</f>
        <v>96.41062455132807</v>
      </c>
      <c r="P310" s="155">
        <f t="shared" ref="P310:P312" ca="1" si="95">IF(M310&gt;0,N310*100/M310,0)</f>
        <v>96.41062455132807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278600</v>
      </c>
      <c r="M312" s="161">
        <f t="shared" ca="1" si="97"/>
        <v>278600</v>
      </c>
      <c r="N312" s="161">
        <f t="shared" ca="1" si="97"/>
        <v>268600</v>
      </c>
      <c r="O312" s="160">
        <f t="shared" ca="1" si="94"/>
        <v>96.41062455132807</v>
      </c>
      <c r="P312" s="160">
        <f t="shared" ca="1" si="95"/>
        <v>96.41062455132807</v>
      </c>
    </row>
    <row r="313" spans="1:16" ht="21.75" customHeight="1" x14ac:dyDescent="0.3">
      <c r="A313" s="162"/>
      <c r="B313" s="163"/>
      <c r="C313" s="163" t="s">
        <v>16</v>
      </c>
      <c r="D313" s="574" t="s">
        <v>20</v>
      </c>
      <c r="E313" s="575"/>
      <c r="F313" s="575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278600</v>
      </c>
      <c r="M314" s="173">
        <f ca="1">IFERROR(__xludf.DUMMYFUNCTION("IMPORTRANGE(""https://docs.google.com/spreadsheets/d/1Yj_ptqi66GCucihVvJfMjLAmec39IyEx_6qawtMGysU/edit?usp=sharing"",""สบก!DC94"")"),278600)</f>
        <v>278600</v>
      </c>
      <c r="N314" s="174">
        <f ca="1">IFERROR(__xludf.DUMMYFUNCTION("IMPORTRANGE(""https://docs.google.com/spreadsheets/d/1Yj_ptqi66GCucihVvJfMjLAmec39IyEx_6qawtMGysU/edit?usp=sharing"",""สบก!DD94"")"),268600)</f>
        <v>268600</v>
      </c>
      <c r="O314" s="175">
        <f ca="1">IF(L314&gt;0,N314*100/L314,0)</f>
        <v>96.41062455132807</v>
      </c>
      <c r="P314" s="175">
        <f ca="1">IF(M314&gt;0,N314*100/M314,0)</f>
        <v>96.41062455132807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IFERROR(__xludf.DUMMYFUNCTION("IMPORTRANGE(""https://docs.google.com/spreadsheets/d/1Yj_ptqi66GCucihVvJfMjLAmec39IyEx_6qawtMGysU/edit?usp=sharing"",""สบก!CY94"")"),0)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IFERROR(__xludf.DUMMYFUNCTION("IMPORTRANGE(""https://docs.google.com/spreadsheets/d/1Yj_ptqi66GCucihVvJfMjLAmec39IyEx_6qawtMGysU/edit?usp=sharing"",""สบก!CZ94"")"),278600)</f>
        <v>278600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6" t="s">
        <v>23</v>
      </c>
      <c r="E317" s="575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IFERROR(__xludf.DUMMYFUNCTION("IMPORTRANGE(""https://docs.google.com/spreadsheets/d/1Yj_ptqi66GCucihVvJfMjLAmec39IyEx_6qawtMGysU/edit?usp=sharing"",""สบก!DA94"")"),0)</f>
        <v>0</v>
      </c>
      <c r="M318" s="101"/>
      <c r="N318" s="91">
        <f ca="1">IFERROR(__xludf.DUMMYFUNCTION("IMPORTRANGE(""https://docs.google.com/spreadsheets/d/1Yj_ptqi66GCucihVvJfMjLAmec39IyEx_6qawtMGysU/edit?usp=sharing"",""สบก!DE94"")"),0)</f>
        <v>0</v>
      </c>
      <c r="O318" s="101">
        <f ca="1">IF(L318&gt;0,N318*100/L318,0)</f>
        <v>0</v>
      </c>
      <c r="P318" s="101"/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IFERROR(__xludf.DUMMYFUNCTION("IMPORTRANGE(""https://docs.google.com/spreadsheets/d/1IYY_tgx_IHuhSq3AJ5eI5OnqOPBNLWSHKh2a30DoXe8/edit?usp=sharing"",""สุราษฎร์ธานี!J220"")"),0)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IFERROR(__xludf.DUMMYFUNCTION("IMPORTRANGE(""https://docs.google.com/spreadsheets/d/1IYY_tgx_IHuhSq3AJ5eI5OnqOPBNLWSHKh2a30DoXe8/edit?usp=sharing"",""สุราษฎร์ธานี!J221"")"),1)</f>
        <v>1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IFERROR(__xludf.DUMMYFUNCTION("IMPORTRANGE(""https://docs.google.com/spreadsheets/d/1IYY_tgx_IHuhSq3AJ5eI5OnqOPBNLWSHKh2a30DoXe8/edit?usp=sharing"",""สุราษฎร์ธานี!J222"")"),1)</f>
        <v>1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IFERROR(__xludf.DUMMYFUNCTION("IMPORTRANGE(""https://docs.google.com/spreadsheets/d/1IYY_tgx_IHuhSq3AJ5eI5OnqOPBNLWSHKh2a30DoXe8/edit?usp=sharing"",""สุราษฎร์ธานี!J223"")"),1)</f>
        <v>1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IFERROR(__xludf.DUMMYFUNCTION("IMPORTRANGE(""https://docs.google.com/spreadsheets/d/1IYY_tgx_IHuhSq3AJ5eI5OnqOPBNLWSHKh2a30DoXe8/edit?usp=sharing"",""สุราษฎร์ธานี!I224"")"),1)</f>
        <v>1</v>
      </c>
      <c r="J324" s="210">
        <f ca="1">IFERROR(__xludf.DUMMYFUNCTION("IMPORTRANGE(""https://docs.google.com/spreadsheets/d/1IYY_tgx_IHuhSq3AJ5eI5OnqOPBNLWSHKh2a30DoXe8/edit?usp=sharing"",""สุราษฎร์ธานี!J224"")"),1)</f>
        <v>1</v>
      </c>
      <c r="K324" s="230">
        <f ca="1">IF(I324&gt;0,J324*100/I324,0)</f>
        <v>100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IFERROR(__xludf.DUMMYFUNCTION("IMPORTRANGE(""https://docs.google.com/spreadsheets/d/1IYY_tgx_IHuhSq3AJ5eI5OnqOPBNLWSHKh2a30DoXe8/edit?usp=sharing"",""สุราษฎร์ธานี!J225"")"),1)</f>
        <v>1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IFERROR(__xludf.DUMMYFUNCTION("IMPORTRANGE(""https://docs.google.com/spreadsheets/d/1IYY_tgx_IHuhSq3AJ5eI5OnqOPBNLWSHKh2a30DoXe8/edit?usp=sharing"",""สุราษฎร์ธานี!J226"")"),1)</f>
        <v>1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IFERROR(__xludf.DUMMYFUNCTION("IMPORTRANGE(""https://docs.google.com/spreadsheets/d/1IYY_tgx_IHuhSq3AJ5eI5OnqOPBNLWSHKh2a30DoXe8/edit?usp=sharing"",""สุราษฎร์ธานี!I228"")"),750)</f>
        <v>750</v>
      </c>
      <c r="J328" s="345">
        <f ca="1">IFERROR(__xludf.DUMMYFUNCTION("IMPORTRANGE(""https://docs.google.com/spreadsheets/d/1IYY_tgx_IHuhSq3AJ5eI5OnqOPBNLWSHKh2a30DoXe8/edit?usp=sharing"",""สุราษฎร์ธานี!J228"")"),952)</f>
        <v>952</v>
      </c>
      <c r="K328" s="323">
        <f ca="1">IF(I328&gt;0,J328*100/I328,0)</f>
        <v>126.93333333333334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2" t="s">
        <v>17</v>
      </c>
      <c r="E329" s="573"/>
      <c r="F329" s="573"/>
      <c r="G329" s="573"/>
      <c r="H329" s="153" t="s">
        <v>12</v>
      </c>
      <c r="I329" s="166"/>
      <c r="J329" s="166"/>
      <c r="K329" s="167"/>
      <c r="L329" s="156">
        <f t="shared" ref="L329:N329" ca="1" si="98">L330+L331</f>
        <v>2000810</v>
      </c>
      <c r="M329" s="156">
        <f t="shared" ca="1" si="98"/>
        <v>2059810</v>
      </c>
      <c r="N329" s="156">
        <f t="shared" ca="1" si="98"/>
        <v>1760952.88</v>
      </c>
      <c r="O329" s="155">
        <f t="shared" ref="O329:O331" ca="1" si="99">IF(L329&gt;0,N329*100/L329,0)</f>
        <v>88.011999140348152</v>
      </c>
      <c r="P329" s="155">
        <f t="shared" ref="P329:P331" ca="1" si="100">IF(M329&gt;0,N329*100/M329,0)</f>
        <v>85.491034609988304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2000810</v>
      </c>
      <c r="M331" s="161">
        <f t="shared" ca="1" si="102"/>
        <v>2059810</v>
      </c>
      <c r="N331" s="161">
        <f t="shared" ca="1" si="102"/>
        <v>1760952.88</v>
      </c>
      <c r="O331" s="160">
        <f t="shared" ca="1" si="99"/>
        <v>88.011999140348152</v>
      </c>
      <c r="P331" s="160">
        <f t="shared" ca="1" si="100"/>
        <v>85.491034609988304</v>
      </c>
    </row>
    <row r="332" spans="1:16" ht="21.75" customHeight="1" x14ac:dyDescent="0.3">
      <c r="A332" s="162"/>
      <c r="B332" s="163"/>
      <c r="C332" s="163" t="s">
        <v>16</v>
      </c>
      <c r="D332" s="574" t="s">
        <v>20</v>
      </c>
      <c r="E332" s="575"/>
      <c r="F332" s="575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1864010</v>
      </c>
      <c r="M333" s="173">
        <f ca="1">IFERROR(__xludf.DUMMYFUNCTION("IMPORTRANGE(""https://docs.google.com/spreadsheets/d/1Yj_ptqi66GCucihVvJfMjLAmec39IyEx_6qawtMGysU/edit?usp=sharing"",""สบก!DL94"")"),1923010)</f>
        <v>1923010</v>
      </c>
      <c r="N333" s="174">
        <f ca="1">IFERROR(__xludf.DUMMYFUNCTION("IMPORTRANGE(""https://docs.google.com/spreadsheets/d/1Yj_ptqi66GCucihVvJfMjLAmec39IyEx_6qawtMGysU/edit?usp=sharing"",""สบก!DM94"")"),1624152.88)</f>
        <v>1624152.88</v>
      </c>
      <c r="O333" s="175">
        <f ca="1">IF(L333&gt;0,N333*100/L333,0)</f>
        <v>87.132197788638479</v>
      </c>
      <c r="P333" s="175">
        <f ca="1">IF(M333&gt;0,N333*100/M333,0)</f>
        <v>84.458888929334748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IFERROR(__xludf.DUMMYFUNCTION("IMPORTRANGE(""https://docs.google.com/spreadsheets/d/1Yj_ptqi66GCucihVvJfMjLAmec39IyEx_6qawtMGysU/edit?usp=sharing"",""สบก!DH94"")"),923400)</f>
        <v>923400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IFERROR(__xludf.DUMMYFUNCTION("IMPORTRANGE(""https://docs.google.com/spreadsheets/d/1Yj_ptqi66GCucihVvJfMjLAmec39IyEx_6qawtMGysU/edit?usp=sharing"",""สบก!DI94"")"),940610)</f>
        <v>940610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6" t="s">
        <v>23</v>
      </c>
      <c r="E336" s="575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IFERROR(__xludf.DUMMYFUNCTION("IMPORTRANGE(""https://docs.google.com/spreadsheets/d/1Yj_ptqi66GCucihVvJfMjLAmec39IyEx_6qawtMGysU/edit?usp=sharing"",""สบก!DJ94"")"),136800)</f>
        <v>136800</v>
      </c>
      <c r="M337" s="101">
        <f ca="1">L337</f>
        <v>136800</v>
      </c>
      <c r="N337" s="91">
        <f ca="1">IFERROR(__xludf.DUMMYFUNCTION("IMPORTRANGE(""https://docs.google.com/spreadsheets/d/1Yj_ptqi66GCucihVvJfMjLAmec39IyEx_6qawtMGysU/edit?usp=sharing"",""สบก!DN94"")"),136800)</f>
        <v>136800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IFERROR(__xludf.DUMMYFUNCTION("IMPORTRANGE(""https://docs.google.com/spreadsheets/d/1IYY_tgx_IHuhSq3AJ5eI5OnqOPBNLWSHKh2a30DoXe8/edit?usp=sharing"",""สุราษฎร์ธานี!I234"")"),0)</f>
        <v>0</v>
      </c>
      <c r="J339" s="194">
        <f ca="1">IFERROR(__xludf.DUMMYFUNCTION("IMPORTRANGE(""https://docs.google.com/spreadsheets/d/1IYY_tgx_IHuhSq3AJ5eI5OnqOPBNLWSHKh2a30DoXe8/edit?usp=sharing"",""สุราษฎร์ธานี!J234"")"),797)</f>
        <v>797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IFERROR(__xludf.DUMMYFUNCTION("IMPORTRANGE(""https://docs.google.com/spreadsheets/d/1IYY_tgx_IHuhSq3AJ5eI5OnqOPBNLWSHKh2a30DoXe8/edit?usp=sharing"",""สุราษฎร์ธานี!I235"")"),6000)</f>
        <v>6000</v>
      </c>
      <c r="J340" s="194">
        <f ca="1">IFERROR(__xludf.DUMMYFUNCTION("IMPORTRANGE(""https://docs.google.com/spreadsheets/d/1IYY_tgx_IHuhSq3AJ5eI5OnqOPBNLWSHKh2a30DoXe8/edit?usp=sharing"",""สุราษฎร์ธานี!J235"")"),8259.4)</f>
        <v>8259.4</v>
      </c>
      <c r="K340" s="348">
        <f t="shared" ca="1" si="103"/>
        <v>137.65666666666667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IFERROR(__xludf.DUMMYFUNCTION("IMPORTRANGE(""https://docs.google.com/spreadsheets/d/1IYY_tgx_IHuhSq3AJ5eI5OnqOPBNLWSHKh2a30DoXe8/edit?usp=sharing"",""สุราษฎร์ธานี!I236"")"),750)</f>
        <v>750</v>
      </c>
      <c r="J341" s="194">
        <f ca="1">IFERROR(__xludf.DUMMYFUNCTION("IMPORTRANGE(""https://docs.google.com/spreadsheets/d/1IYY_tgx_IHuhSq3AJ5eI5OnqOPBNLWSHKh2a30DoXe8/edit?usp=sharing"",""สุราษฎร์ธานี!J236"")"),1209)</f>
        <v>1209</v>
      </c>
      <c r="K341" s="348">
        <f t="shared" ca="1" si="103"/>
        <v>161.19999999999999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IFERROR(__xludf.DUMMYFUNCTION("IMPORTRANGE(""https://docs.google.com/spreadsheets/d/1IYY_tgx_IHuhSq3AJ5eI5OnqOPBNLWSHKh2a30DoXe8/edit?usp=sharing"",""สุราษฎร์ธานี!I237"")"),0)</f>
        <v>0</v>
      </c>
      <c r="J342" s="194">
        <f ca="1">IFERROR(__xludf.DUMMYFUNCTION("IMPORTRANGE(""https://docs.google.com/spreadsheets/d/1IYY_tgx_IHuhSq3AJ5eI5OnqOPBNLWSHKh2a30DoXe8/edit?usp=sharing"",""สุราษฎร์ธานี!J237"")"),16110.65)</f>
        <v>16110.65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IFERROR(__xludf.DUMMYFUNCTION("IMPORTRANGE(""https://docs.google.com/spreadsheets/d/1IYY_tgx_IHuhSq3AJ5eI5OnqOPBNLWSHKh2a30DoXe8/edit?usp=sharing"",""สุราษฎร์ธานี!I238"")"),750)</f>
        <v>750</v>
      </c>
      <c r="J343" s="194">
        <f ca="1">IFERROR(__xludf.DUMMYFUNCTION("IMPORTRANGE(""https://docs.google.com/spreadsheets/d/1IYY_tgx_IHuhSq3AJ5eI5OnqOPBNLWSHKh2a30DoXe8/edit?usp=sharing"",""สุราษฎร์ธานี!J238"")"),0)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IFERROR(__xludf.DUMMYFUNCTION("IMPORTRANGE(""https://docs.google.com/spreadsheets/d/1IYY_tgx_IHuhSq3AJ5eI5OnqOPBNLWSHKh2a30DoXe8/edit?usp=sharing"",""สุราษฎร์ธานี!I239"")"),0)</f>
        <v>0</v>
      </c>
      <c r="J344" s="194">
        <f ca="1">IFERROR(__xludf.DUMMYFUNCTION("IMPORTRANGE(""https://docs.google.com/spreadsheets/d/1IYY_tgx_IHuhSq3AJ5eI5OnqOPBNLWSHKh2a30DoXe8/edit?usp=sharing"",""สุราษฎร์ธานี!J239"")"),0)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IFERROR(__xludf.DUMMYFUNCTION("IMPORTRANGE(""https://docs.google.com/spreadsheets/d/1IYY_tgx_IHuhSq3AJ5eI5OnqOPBNLWSHKh2a30DoXe8/edit?usp=sharing"",""สุราษฎร์ธานี!I240"")"),750)</f>
        <v>750</v>
      </c>
      <c r="J345" s="194">
        <f ca="1">IFERROR(__xludf.DUMMYFUNCTION("IMPORTRANGE(""https://docs.google.com/spreadsheets/d/1IYY_tgx_IHuhSq3AJ5eI5OnqOPBNLWSHKh2a30DoXe8/edit?usp=sharing"",""สุราษฎร์ธานี!J240"")"),952)</f>
        <v>952</v>
      </c>
      <c r="K345" s="348">
        <f t="shared" ca="1" si="103"/>
        <v>126.93333333333334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IFERROR(__xludf.DUMMYFUNCTION("IMPORTRANGE(""https://docs.google.com/spreadsheets/d/1IYY_tgx_IHuhSq3AJ5eI5OnqOPBNLWSHKh2a30DoXe8/edit?usp=sharing"",""สุราษฎร์ธานี!I241"")"),0)</f>
        <v>0</v>
      </c>
      <c r="J346" s="194">
        <f ca="1">IFERROR(__xludf.DUMMYFUNCTION("IMPORTRANGE(""https://docs.google.com/spreadsheets/d/1IYY_tgx_IHuhSq3AJ5eI5OnqOPBNLWSHKh2a30DoXe8/edit?usp=sharing"",""สุราษฎร์ธานี!J241"")"),13369.8699999999)</f>
        <v>13369.869999999901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IFERROR(__xludf.DUMMYFUNCTION("IMPORTRANGE(""https://docs.google.com/spreadsheets/d/1IYY_tgx_IHuhSq3AJ5eI5OnqOPBNLWSHKh2a30DoXe8/edit?usp=sharing"",""สุราษฎร์ธานี!L242"")"),2753836)</f>
        <v>2753836</v>
      </c>
      <c r="M347" s="364"/>
      <c r="N347" s="364">
        <f ca="1">IFERROR(__xludf.DUMMYFUNCTION("IMPORTRANGE(""https://docs.google.com/spreadsheets/d/1IYY_tgx_IHuhSq3AJ5eI5OnqOPBNLWSHKh2a30DoXe8/edit?usp=sharing"",""สุราษฎร์ธานี!M242"")"),1688444.18)</f>
        <v>1688444.18</v>
      </c>
      <c r="O347" s="364">
        <f ca="1">+IF(L347&gt;0,N347*100/L347,0)</f>
        <v>61.312444895048216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IFERROR(__xludf.DUMMYFUNCTION("IMPORTRANGE(""https://docs.google.com/spreadsheets/d/1IYY_tgx_IHuhSq3AJ5eI5OnqOPBNLWSHKh2a30DoXe8/edit?usp=sharing"",""สุราษฎร์ธานี!I244"")"),80)</f>
        <v>80</v>
      </c>
      <c r="J349" s="377">
        <f ca="1">IFERROR(__xludf.DUMMYFUNCTION("IMPORTRANGE(""https://docs.google.com/spreadsheets/d/1IYY_tgx_IHuhSq3AJ5eI5OnqOPBNLWSHKh2a30DoXe8/edit?usp=sharing"",""สุราษฎร์ธานี!J244"")"),80)</f>
        <v>80</v>
      </c>
      <c r="K349" s="378">
        <f t="shared" ref="K349:K350" ca="1" si="104">IF(I349&gt;0,J349*100/I349,0)</f>
        <v>100</v>
      </c>
      <c r="L349" s="379">
        <f ca="1">IFERROR(__xludf.DUMMYFUNCTION("IMPORTRANGE(""https://docs.google.com/spreadsheets/d/1IYY_tgx_IHuhSq3AJ5eI5OnqOPBNLWSHKh2a30DoXe8/edit?usp=sharing"",""สุราษฎร์ธานี!L244"")"),311160)</f>
        <v>311160</v>
      </c>
      <c r="M349" s="379"/>
      <c r="N349" s="379">
        <f ca="1">IFERROR(__xludf.DUMMYFUNCTION("IMPORTRANGE(""https://docs.google.com/spreadsheets/d/1IYY_tgx_IHuhSq3AJ5eI5OnqOPBNLWSHKh2a30DoXe8/edit?usp=sharing"",""สุราษฎร์ธานี!M244"")"),305258.65)</f>
        <v>305258.65000000002</v>
      </c>
      <c r="O349" s="379">
        <f ca="1">+IF(L349&gt;0,N349*100/L349,0)</f>
        <v>98.103435531559342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IFERROR(__xludf.DUMMYFUNCTION("IMPORTRANGE(""https://docs.google.com/spreadsheets/d/1IYY_tgx_IHuhSq3AJ5eI5OnqOPBNLWSHKh2a30DoXe8/edit?usp=sharing"",""สุราษฎร์ธานี!I245"")"),40)</f>
        <v>40</v>
      </c>
      <c r="J350" s="377">
        <f ca="1">IFERROR(__xludf.DUMMYFUNCTION("IMPORTRANGE(""https://docs.google.com/spreadsheets/d/1IYY_tgx_IHuhSq3AJ5eI5OnqOPBNLWSHKh2a30DoXe8/edit?usp=sharing"",""สุราษฎร์ธานี!J245"")"),40)</f>
        <v>40</v>
      </c>
      <c r="K350" s="378">
        <f t="shared" ca="1" si="104"/>
        <v>100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IFERROR(__xludf.DUMMYFUNCTION("IMPORTRANGE(""https://docs.google.com/spreadsheets/d/1IYY_tgx_IHuhSq3AJ5eI5OnqOPBNLWSHKh2a30DoXe8/edit?usp=sharing"",""สุราษฎร์ธานี!L246"")"),0)</f>
        <v>0</v>
      </c>
      <c r="M351" s="168"/>
      <c r="N351" s="168">
        <f ca="1">IFERROR(__xludf.DUMMYFUNCTION("IMPORTRANGE(""https://docs.google.com/spreadsheets/d/1IYY_tgx_IHuhSq3AJ5eI5OnqOPBNLWSHKh2a30DoXe8/edit?usp=sharing"",""สุราษฎร์ธานี!M246"")"),0)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IFERROR(__xludf.DUMMYFUNCTION("IMPORTRANGE(""https://docs.google.com/spreadsheets/d/1IYY_tgx_IHuhSq3AJ5eI5OnqOPBNLWSHKh2a30DoXe8/edit?usp=sharing"",""สุราษฎร์ธานี!L247"")"),311160)</f>
        <v>311160</v>
      </c>
      <c r="M352" s="169"/>
      <c r="N352" s="168">
        <f ca="1">IFERROR(__xludf.DUMMYFUNCTION("IMPORTRANGE(""https://docs.google.com/spreadsheets/d/1IYY_tgx_IHuhSq3AJ5eI5OnqOPBNLWSHKh2a30DoXe8/edit?usp=sharing"",""สุราษฎร์ธานี!M247"")"),305258.65)</f>
        <v>305258.65000000002</v>
      </c>
      <c r="O352" s="169">
        <f t="shared" ca="1" si="105"/>
        <v>98.103435531559342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IFERROR(__xludf.DUMMYFUNCTION("IMPORTRANGE(""https://docs.google.com/spreadsheets/d/1IYY_tgx_IHuhSq3AJ5eI5OnqOPBNLWSHKh2a30DoXe8/edit?usp=sharing"",""สุราษฎร์ธานี!L248"")"),0)</f>
        <v>0</v>
      </c>
      <c r="M353" s="175"/>
      <c r="N353" s="175">
        <f ca="1">IFERROR(__xludf.DUMMYFUNCTION("IMPORTRANGE(""https://docs.google.com/spreadsheets/d/1IYY_tgx_IHuhSq3AJ5eI5OnqOPBNLWSHKh2a30DoXe8/edit?usp=sharing"",""สุราษฎร์ธานี!M248"")"),0)</f>
        <v>0</v>
      </c>
      <c r="O353" s="175">
        <f t="shared" ca="1" si="105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IFERROR(__xludf.DUMMYFUNCTION("IMPORTRANGE(""https://docs.google.com/spreadsheets/d/1IYY_tgx_IHuhSq3AJ5eI5OnqOPBNLWSHKh2a30DoXe8/edit?usp=sharing"",""สุราษฎร์ธานี!L249"")"),311160)</f>
        <v>311160</v>
      </c>
      <c r="M354" s="175"/>
      <c r="N354" s="172">
        <f ca="1">IFERROR(__xludf.DUMMYFUNCTION("IMPORTRANGE(""https://docs.google.com/spreadsheets/d/1IYY_tgx_IHuhSq3AJ5eI5OnqOPBNLWSHKh2a30DoXe8/edit?usp=sharing"",""สุราษฎร์ธานี!M249"")"),305258.65)</f>
        <v>305258.65000000002</v>
      </c>
      <c r="O354" s="175">
        <f t="shared" ca="1" si="105"/>
        <v>98.103435531559342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IFERROR(__xludf.DUMMYFUNCTION("IMPORTRANGE(""https://docs.google.com/spreadsheets/d/1IYY_tgx_IHuhSq3AJ5eI5OnqOPBNLWSHKh2a30DoXe8/edit?usp=sharing"",""สุราษฎร์ธานี!M250"")"),50400)</f>
        <v>50400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IFERROR(__xludf.DUMMYFUNCTION("IMPORTRANGE(""https://docs.google.com/spreadsheets/d/1IYY_tgx_IHuhSq3AJ5eI5OnqOPBNLWSHKh2a30DoXe8/edit?usp=sharing"",""สุราษฎร์ธานี!M251"")"),83000)</f>
        <v>83000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IFERROR(__xludf.DUMMYFUNCTION("IMPORTRANGE(""https://docs.google.com/spreadsheets/d/1IYY_tgx_IHuhSq3AJ5eI5OnqOPBNLWSHKh2a30DoXe8/edit?usp=sharing"",""สุราษฎร์ธานี!M252"")"),137408.65)</f>
        <v>137408.65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IFERROR(__xludf.DUMMYFUNCTION("IMPORTRANGE(""https://docs.google.com/spreadsheets/d/1IYY_tgx_IHuhSq3AJ5eI5OnqOPBNLWSHKh2a30DoXe8/edit?usp=sharing"",""สุราษฎร์ธานี!M253"")"),34450)</f>
        <v>34450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IFERROR(__xludf.DUMMYFUNCTION("IMPORTRANGE(""https://docs.google.com/spreadsheets/d/1IYY_tgx_IHuhSq3AJ5eI5OnqOPBNLWSHKh2a30DoXe8/edit?usp=sharing"",""สุราษฎร์ธานี!J255"")"),0)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IFERROR(__xludf.DUMMYFUNCTION("IMPORTRANGE(""https://docs.google.com/spreadsheets/d/1IYY_tgx_IHuhSq3AJ5eI5OnqOPBNLWSHKh2a30DoXe8/edit?usp=sharing"",""สุราษฎร์ธานี!J256"")"),1)</f>
        <v>1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IFERROR(__xludf.DUMMYFUNCTION("IMPORTRANGE(""https://docs.google.com/spreadsheets/d/1IYY_tgx_IHuhSq3AJ5eI5OnqOPBNLWSHKh2a30DoXe8/edit?usp=sharing"",""สุราษฎร์ธานี!J257"")"),1)</f>
        <v>1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IFERROR(__xludf.DUMMYFUNCTION("IMPORTRANGE(""https://docs.google.com/spreadsheets/d/1IYY_tgx_IHuhSq3AJ5eI5OnqOPBNLWSHKh2a30DoXe8/edit?usp=sharing"",""สุราษฎร์ธานี!J258"")"),1)</f>
        <v>1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IFERROR(__xludf.DUMMYFUNCTION("IMPORTRANGE(""https://docs.google.com/spreadsheets/d/1IYY_tgx_IHuhSq3AJ5eI5OnqOPBNLWSHKh2a30DoXe8/edit?usp=sharing"",""สุราษฎร์ธานี!J166"")"),0)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IFERROR(__xludf.DUMMYFUNCTION("IMPORTRANGE(""https://docs.google.com/spreadsheets/d/1IYY_tgx_IHuhSq3AJ5eI5OnqOPBNLWSHKh2a30DoXe8/edit?usp=sharing"",""สุราษฎร์ธานี!J166"")"),0)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IFERROR(__xludf.DUMMYFUNCTION("IMPORTRANGE(""https://docs.google.com/spreadsheets/d/1IYY_tgx_IHuhSq3AJ5eI5OnqOPBNLWSHKh2a30DoXe8/edit?usp=sharing"",""สุราษฎร์ธานี!J166"")"),0)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IFERROR(__xludf.DUMMYFUNCTION("IMPORTRANGE(""https://docs.google.com/spreadsheets/d/1IYY_tgx_IHuhSq3AJ5eI5OnqOPBNLWSHKh2a30DoXe8/edit?usp=sharing"",""สุราษฎร์ธานี!J166"")"),0)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IFERROR(__xludf.DUMMYFUNCTION("IMPORTRANGE(""https://docs.google.com/spreadsheets/d/1IYY_tgx_IHuhSq3AJ5eI5OnqOPBNLWSHKh2a30DoXe8/edit?usp=sharing"",""สุราษฎร์ธานี!I263"")"),40)</f>
        <v>40</v>
      </c>
      <c r="J368" s="194">
        <f ca="1">IFERROR(__xludf.DUMMYFUNCTION("IMPORTRANGE(""https://docs.google.com/spreadsheets/d/1IYY_tgx_IHuhSq3AJ5eI5OnqOPBNLWSHKh2a30DoXe8/edit?usp=sharing"",""สุราษฎร์ธานี!J263"")"),40)</f>
        <v>40</v>
      </c>
      <c r="K368" s="167">
        <f t="shared" ca="1" si="106"/>
        <v>100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IFERROR(__xludf.DUMMYFUNCTION("IMPORTRANGE(""https://docs.google.com/spreadsheets/d/1IYY_tgx_IHuhSq3AJ5eI5OnqOPBNLWSHKh2a30DoXe8/edit?usp=sharing"",""สุราษฎร์ธานี!I164"")"),0)</f>
        <v>0</v>
      </c>
      <c r="J369" s="210">
        <f ca="1">IFERROR(__xludf.DUMMYFUNCTION("IMPORTRANGE(""https://docs.google.com/spreadsheets/d/1IYY_tgx_IHuhSq3AJ5eI5OnqOPBNLWSHKh2a30DoXe8/edit?usp=sharing"",""สุราษฎร์ธานี!J164"")"),0)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IFERROR(__xludf.DUMMYFUNCTION("IMPORTRANGE(""https://docs.google.com/spreadsheets/d/1IYY_tgx_IHuhSq3AJ5eI5OnqOPBNLWSHKh2a30DoXe8/edit?usp=sharing"",""สุราษฎร์ธานี!I265"")"),40)</f>
        <v>40</v>
      </c>
      <c r="J370" s="210">
        <f ca="1">IFERROR(__xludf.DUMMYFUNCTION("IMPORTRANGE(""https://docs.google.com/spreadsheets/d/1IYY_tgx_IHuhSq3AJ5eI5OnqOPBNLWSHKh2a30DoXe8/edit?usp=sharing"",""สุราษฎร์ธานี!J265"")"),20)</f>
        <v>20</v>
      </c>
      <c r="K370" s="167">
        <f t="shared" ca="1" si="106"/>
        <v>50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IFERROR(__xludf.DUMMYFUNCTION("IMPORTRANGE(""https://docs.google.com/spreadsheets/d/1IYY_tgx_IHuhSq3AJ5eI5OnqOPBNLWSHKh2a30DoXe8/edit?usp=sharing"",""สุราษฎร์ธานี!I164"")"),0)</f>
        <v>0</v>
      </c>
      <c r="J371" s="195">
        <f ca="1">IFERROR(__xludf.DUMMYFUNCTION("IMPORTRANGE(""https://docs.google.com/spreadsheets/d/1IYY_tgx_IHuhSq3AJ5eI5OnqOPBNLWSHKh2a30DoXe8/edit?usp=sharing"",""สุราษฎร์ธานี!J164"")"),0)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IFERROR(__xludf.DUMMYFUNCTION("IMPORTRANGE(""https://docs.google.com/spreadsheets/d/1IYY_tgx_IHuhSq3AJ5eI5OnqOPBNLWSHKh2a30DoXe8/edit?usp=sharing"",""สุราษฎร์ธานี!I267"")"),40)</f>
        <v>40</v>
      </c>
      <c r="J372" s="195">
        <f ca="1">IFERROR(__xludf.DUMMYFUNCTION("IMPORTRANGE(""https://docs.google.com/spreadsheets/d/1IYY_tgx_IHuhSq3AJ5eI5OnqOPBNLWSHKh2a30DoXe8/edit?usp=sharing"",""สุราษฎร์ธานี!J267"")"),20)</f>
        <v>20</v>
      </c>
      <c r="K372" s="167">
        <f t="shared" ca="1" si="106"/>
        <v>50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IFERROR(__xludf.DUMMYFUNCTION("IMPORTRANGE(""https://docs.google.com/spreadsheets/d/1IYY_tgx_IHuhSq3AJ5eI5OnqOPBNLWSHKh2a30DoXe8/edit?usp=sharing"",""สุราษฎร์ธานี!I164"")"),0)</f>
        <v>0</v>
      </c>
      <c r="J373" s="210">
        <f ca="1">IFERROR(__xludf.DUMMYFUNCTION("IMPORTRANGE(""https://docs.google.com/spreadsheets/d/1IYY_tgx_IHuhSq3AJ5eI5OnqOPBNLWSHKh2a30DoXe8/edit?usp=sharing"",""สุราษฎร์ธานี!J164"")"),0)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IFERROR(__xludf.DUMMYFUNCTION("IMPORTRANGE(""https://docs.google.com/spreadsheets/d/1IYY_tgx_IHuhSq3AJ5eI5OnqOPBNLWSHKh2a30DoXe8/edit?usp=sharing"",""สุราษฎร์ธานี!I164"")"),0)</f>
        <v>0</v>
      </c>
      <c r="J374" s="194">
        <f ca="1">IFERROR(__xludf.DUMMYFUNCTION("IMPORTRANGE(""https://docs.google.com/spreadsheets/d/1IYY_tgx_IHuhSq3AJ5eI5OnqOPBNLWSHKh2a30DoXe8/edit?usp=sharing"",""สุราษฎร์ธานี!J164"")"),0)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IFERROR(__xludf.DUMMYFUNCTION("IMPORTRANGE(""https://docs.google.com/spreadsheets/d/1IYY_tgx_IHuhSq3AJ5eI5OnqOPBNLWSHKh2a30DoXe8/edit?usp=sharing"",""สุราษฎร์ธานี!I270"")"),80)</f>
        <v>80</v>
      </c>
      <c r="J375" s="194">
        <f ca="1">IFERROR(__xludf.DUMMYFUNCTION("IMPORTRANGE(""https://docs.google.com/spreadsheets/d/1IYY_tgx_IHuhSq3AJ5eI5OnqOPBNLWSHKh2a30DoXe8/edit?usp=sharing"",""สุราษฎร์ธานี!J270"")"),80)</f>
        <v>80</v>
      </c>
      <c r="K375" s="167">
        <f t="shared" ref="K375:K377" ca="1" si="107">IF(I375&gt;0,J375*100/I375,0)</f>
        <v>100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IFERROR(__xludf.DUMMYFUNCTION("IMPORTRANGE(""https://docs.google.com/spreadsheets/d/1IYY_tgx_IHuhSq3AJ5eI5OnqOPBNLWSHKh2a30DoXe8/edit?usp=sharing"",""สุราษฎร์ธานี!I271"")"),40)</f>
        <v>40</v>
      </c>
      <c r="J376" s="195">
        <f ca="1">IFERROR(__xludf.DUMMYFUNCTION("IMPORTRANGE(""https://docs.google.com/spreadsheets/d/1IYY_tgx_IHuhSq3AJ5eI5OnqOPBNLWSHKh2a30DoXe8/edit?usp=sharing"",""สุราษฎร์ธานี!J271"")"),40)</f>
        <v>40</v>
      </c>
      <c r="K376" s="167">
        <f t="shared" ca="1" si="107"/>
        <v>100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IFERROR(__xludf.DUMMYFUNCTION("IMPORTRANGE(""https://docs.google.com/spreadsheets/d/1IYY_tgx_IHuhSq3AJ5eI5OnqOPBNLWSHKh2a30DoXe8/edit?usp=sharing"",""สุราษฎร์ธานี!I272"")"),40)</f>
        <v>40</v>
      </c>
      <c r="J377" s="210">
        <f ca="1">IFERROR(__xludf.DUMMYFUNCTION("IMPORTRANGE(""https://docs.google.com/spreadsheets/d/1IYY_tgx_IHuhSq3AJ5eI5OnqOPBNLWSHKh2a30DoXe8/edit?usp=sharing"",""สุราษฎร์ธานี!J272"")"),40)</f>
        <v>40</v>
      </c>
      <c r="K377" s="167">
        <f t="shared" ca="1" si="107"/>
        <v>100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IFERROR(__xludf.DUMMYFUNCTION("IMPORTRANGE(""https://docs.google.com/spreadsheets/d/1IYY_tgx_IHuhSq3AJ5eI5OnqOPBNLWSHKh2a30DoXe8/edit?usp=sharing"",""สุราษฎร์ธานี!J273"")"),1)</f>
        <v>1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IFERROR(__xludf.DUMMYFUNCTION("IMPORTRANGE(""https://docs.google.com/spreadsheets/d/1IYY_tgx_IHuhSq3AJ5eI5OnqOPBNLWSHKh2a30DoXe8/edit?usp=sharing"",""สุราษฎร์ธานี!J274"")"),1)</f>
        <v>1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IFERROR(__xludf.DUMMYFUNCTION("IMPORTRANGE(""https://docs.google.com/spreadsheets/d/1IYY_tgx_IHuhSq3AJ5eI5OnqOPBNLWSHKh2a30DoXe8/edit?usp=sharing"",""สุราษฎร์ธานี!I275"")"),1000)</f>
        <v>1000</v>
      </c>
      <c r="J380" s="377">
        <f ca="1">IFERROR(__xludf.DUMMYFUNCTION("IMPORTRANGE(""https://docs.google.com/spreadsheets/d/1IYY_tgx_IHuhSq3AJ5eI5OnqOPBNLWSHKh2a30DoXe8/edit?usp=sharing"",""สุราษฎร์ธานี!J275"")"),1000)</f>
        <v>1000</v>
      </c>
      <c r="K380" s="378">
        <f t="shared" ref="K380:K381" ca="1" si="108">IF(I380&gt;0,J380*100/I380,0)</f>
        <v>100</v>
      </c>
      <c r="L380" s="379">
        <f ca="1">IFERROR(__xludf.DUMMYFUNCTION("IMPORTRANGE(""https://docs.google.com/spreadsheets/d/1IYY_tgx_IHuhSq3AJ5eI5OnqOPBNLWSHKh2a30DoXe8/edit?usp=sharing"",""สุราษฎร์ธานี!L275"")"),1028520)</f>
        <v>1028520</v>
      </c>
      <c r="M380" s="379"/>
      <c r="N380" s="379">
        <f ca="1">IFERROR(__xludf.DUMMYFUNCTION("IMPORTRANGE(""https://docs.google.com/spreadsheets/d/1IYY_tgx_IHuhSq3AJ5eI5OnqOPBNLWSHKh2a30DoXe8/edit?usp=sharing"",""สุราษฎร์ธานี!M275"")"),698576.28)</f>
        <v>698576.28</v>
      </c>
      <c r="O380" s="379">
        <f ca="1">+IF(L380&gt;0,N380*100/L380,0)</f>
        <v>67.920534360051334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IFERROR(__xludf.DUMMYFUNCTION("IMPORTRANGE(""https://docs.google.com/spreadsheets/d/1IYY_tgx_IHuhSq3AJ5eI5OnqOPBNLWSHKh2a30DoXe8/edit?usp=sharing"",""สุราษฎร์ธานี!I276"")"),100)</f>
        <v>100</v>
      </c>
      <c r="J381" s="377">
        <f ca="1">IFERROR(__xludf.DUMMYFUNCTION("IMPORTRANGE(""https://docs.google.com/spreadsheets/d/1IYY_tgx_IHuhSq3AJ5eI5OnqOPBNLWSHKh2a30DoXe8/edit?usp=sharing"",""สุราษฎร์ธานี!J276"")"),100)</f>
        <v>100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IFERROR(__xludf.DUMMYFUNCTION("IMPORTRANGE(""https://docs.google.com/spreadsheets/d/1IYY_tgx_IHuhSq3AJ5eI5OnqOPBNLWSHKh2a30DoXe8/edit?usp=sharing"",""สุราษฎร์ธานี!L277"")"),0)</f>
        <v>0</v>
      </c>
      <c r="M382" s="168"/>
      <c r="N382" s="168">
        <f ca="1">IFERROR(__xludf.DUMMYFUNCTION("IMPORTRANGE(""https://docs.google.com/spreadsheets/d/1IYY_tgx_IHuhSq3AJ5eI5OnqOPBNLWSHKh2a30DoXe8/edit?usp=sharing"",""สุราษฎร์ธานี!M277"")"),0)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IFERROR(__xludf.DUMMYFUNCTION("IMPORTRANGE(""https://docs.google.com/spreadsheets/d/1IYY_tgx_IHuhSq3AJ5eI5OnqOPBNLWSHKh2a30DoXe8/edit?usp=sharing"",""สุราษฎร์ธานี!L278"")"),1028520)</f>
        <v>1028520</v>
      </c>
      <c r="M383" s="169"/>
      <c r="N383" s="169">
        <f ca="1">IFERROR(__xludf.DUMMYFUNCTION("IMPORTRANGE(""https://docs.google.com/spreadsheets/d/1IYY_tgx_IHuhSq3AJ5eI5OnqOPBNLWSHKh2a30DoXe8/edit?usp=sharing"",""สุราษฎร์ธานี!M278"")"),698576.28)</f>
        <v>698576.28</v>
      </c>
      <c r="O383" s="169">
        <f t="shared" ca="1" si="109"/>
        <v>67.920534360051334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IFERROR(__xludf.DUMMYFUNCTION("IMPORTRANGE(""https://docs.google.com/spreadsheets/d/1IYY_tgx_IHuhSq3AJ5eI5OnqOPBNLWSHKh2a30DoXe8/edit?usp=sharing"",""สุราษฎร์ธานี!L279"")"),0)</f>
        <v>0</v>
      </c>
      <c r="M384" s="175"/>
      <c r="N384" s="175">
        <f ca="1">IFERROR(__xludf.DUMMYFUNCTION("IMPORTRANGE(""https://docs.google.com/spreadsheets/d/1IYY_tgx_IHuhSq3AJ5eI5OnqOPBNLWSHKh2a30DoXe8/edit?usp=sharing"",""สุราษฎร์ธานี!M279"")"),0)</f>
        <v>0</v>
      </c>
      <c r="O384" s="175">
        <f t="shared" ca="1" si="109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IFERROR(__xludf.DUMMYFUNCTION("IMPORTRANGE(""https://docs.google.com/spreadsheets/d/1IYY_tgx_IHuhSq3AJ5eI5OnqOPBNLWSHKh2a30DoXe8/edit?usp=sharing"",""สุราษฎร์ธานี!L280"")"),1028520)</f>
        <v>1028520</v>
      </c>
      <c r="M385" s="175"/>
      <c r="N385" s="172">
        <f ca="1">IFERROR(__xludf.DUMMYFUNCTION("IMPORTRANGE(""https://docs.google.com/spreadsheets/d/1IYY_tgx_IHuhSq3AJ5eI5OnqOPBNLWSHKh2a30DoXe8/edit?usp=sharing"",""สุราษฎร์ธานี!M280"")"),698576.28)</f>
        <v>698576.28</v>
      </c>
      <c r="O385" s="175">
        <f t="shared" ca="1" si="109"/>
        <v>67.920534360051334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IFERROR(__xludf.DUMMYFUNCTION("IMPORTRANGE(""https://docs.google.com/spreadsheets/d/1IYY_tgx_IHuhSq3AJ5eI5OnqOPBNLWSHKh2a30DoXe8/edit?usp=sharing"",""สุราษฎร์ธานี!M281"")"),197999)</f>
        <v>197999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IFERROR(__xludf.DUMMYFUNCTION("IMPORTRANGE(""https://docs.google.com/spreadsheets/d/1IYY_tgx_IHuhSq3AJ5eI5OnqOPBNLWSHKh2a30DoXe8/edit?usp=sharing"",""สุราษฎร์ธานี!M282"")"),358888.88)</f>
        <v>358888.88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IFERROR(__xludf.DUMMYFUNCTION("IMPORTRANGE(""https://docs.google.com/spreadsheets/d/1IYY_tgx_IHuhSq3AJ5eI5OnqOPBNLWSHKh2a30DoXe8/edit?usp=sharing"",""สุราษฎร์ธานี!M283"")"),115168.8)</f>
        <v>115168.8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IFERROR(__xludf.DUMMYFUNCTION("IMPORTRANGE(""https://docs.google.com/spreadsheets/d/1IYY_tgx_IHuhSq3AJ5eI5OnqOPBNLWSHKh2a30DoXe8/edit?usp=sharing"",""สุราษฎร์ธานี!M284"")"),26519.6)</f>
        <v>26519.599999999999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IFERROR(__xludf.DUMMYFUNCTION("IMPORTRANGE(""https://docs.google.com/spreadsheets/d/1IYY_tgx_IHuhSq3AJ5eI5OnqOPBNLWSHKh2a30DoXe8/edit?usp=sharing"",""สุราษฎร์ธานี!J286"")"),0)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IFERROR(__xludf.DUMMYFUNCTION("IMPORTRANGE(""https://docs.google.com/spreadsheets/d/1IYY_tgx_IHuhSq3AJ5eI5OnqOPBNLWSHKh2a30DoXe8/edit?usp=sharing"",""สุราษฎร์ธานี!J287"")"),1)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IFERROR(__xludf.DUMMYFUNCTION("IMPORTRANGE(""https://docs.google.com/spreadsheets/d/1IYY_tgx_IHuhSq3AJ5eI5OnqOPBNLWSHKh2a30DoXe8/edit?usp=sharing"",""สุราษฎร์ธานี!J288"")"),1)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IFERROR(__xludf.DUMMYFUNCTION("IMPORTRANGE(""https://docs.google.com/spreadsheets/d/1IYY_tgx_IHuhSq3AJ5eI5OnqOPBNLWSHKh2a30DoXe8/edit?usp=sharing"",""สุราษฎร์ธานี!J289"")"),1)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IFERROR(__xludf.DUMMYFUNCTION("IMPORTRANGE(""https://docs.google.com/spreadsheets/d/1IYY_tgx_IHuhSq3AJ5eI5OnqOPBNLWSHKh2a30DoXe8/edit?usp=sharing"",""สุราษฎร์ธานี!I291"")"),100)</f>
        <v>100</v>
      </c>
      <c r="J396" s="204">
        <f ca="1">IFERROR(__xludf.DUMMYFUNCTION("IMPORTRANGE(""https://docs.google.com/spreadsheets/d/1IYY_tgx_IHuhSq3AJ5eI5OnqOPBNLWSHKh2a30DoXe8/edit?usp=sharing"",""สุราษฎร์ธานี!J291"")"),100)</f>
        <v>100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IFERROR(__xludf.DUMMYFUNCTION("IMPORTRANGE(""https://docs.google.com/spreadsheets/d/1IYY_tgx_IHuhSq3AJ5eI5OnqOPBNLWSHKh2a30DoXe8/edit?usp=sharing"",""สุราษฎร์ธานี!I292"")"),1000)</f>
        <v>1000</v>
      </c>
      <c r="J397" s="204">
        <f ca="1">IFERROR(__xludf.DUMMYFUNCTION("IMPORTRANGE(""https://docs.google.com/spreadsheets/d/1IYY_tgx_IHuhSq3AJ5eI5OnqOPBNLWSHKh2a30DoXe8/edit?usp=sharing"",""สุราษฎร์ธานี!J292"")"),1000)</f>
        <v>1000</v>
      </c>
      <c r="K397" s="167">
        <f t="shared" ca="1" si="110"/>
        <v>100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IFERROR(__xludf.DUMMYFUNCTION("IMPORTRANGE(""https://docs.google.com/spreadsheets/d/1IYY_tgx_IHuhSq3AJ5eI5OnqOPBNLWSHKh2a30DoXe8/edit?usp=sharing"",""สุราษฎร์ธานี!I293"")"),100)</f>
        <v>100</v>
      </c>
      <c r="J398" s="204">
        <f ca="1">IFERROR(__xludf.DUMMYFUNCTION("IMPORTRANGE(""https://docs.google.com/spreadsheets/d/1IYY_tgx_IHuhSq3AJ5eI5OnqOPBNLWSHKh2a30DoXe8/edit?usp=sharing"",""สุราษฎร์ธานี!J293"")"),100)</f>
        <v>100</v>
      </c>
      <c r="K398" s="167">
        <f t="shared" ca="1" si="110"/>
        <v>100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IFERROR(__xludf.DUMMYFUNCTION("IMPORTRANGE(""https://docs.google.com/spreadsheets/d/1IYY_tgx_IHuhSq3AJ5eI5OnqOPBNLWSHKh2a30DoXe8/edit?usp=sharing"",""สุราษฎร์ธานี!J294"")"),1)</f>
        <v>1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IFERROR(__xludf.DUMMYFUNCTION("IMPORTRANGE(""https://docs.google.com/spreadsheets/d/1IYY_tgx_IHuhSq3AJ5eI5OnqOPBNLWSHKh2a30DoXe8/edit?usp=sharing"",""สุราษฎร์ธานี!J295"")"),1)</f>
        <v>1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IFERROR(__xludf.DUMMYFUNCTION("IMPORTRANGE(""https://docs.google.com/spreadsheets/d/1IYY_tgx_IHuhSq3AJ5eI5OnqOPBNLWSHKh2a30DoXe8/edit?usp=sharing"",""สุราษฎร์ธานี!I296"")"),75)</f>
        <v>75</v>
      </c>
      <c r="J401" s="377">
        <f ca="1">IFERROR(__xludf.DUMMYFUNCTION("IMPORTRANGE(""https://docs.google.com/spreadsheets/d/1IYY_tgx_IHuhSq3AJ5eI5OnqOPBNLWSHKh2a30DoXe8/edit?usp=sharing"",""สุราษฎร์ธานี!J296"")"),75)</f>
        <v>75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IFERROR(__xludf.DUMMYFUNCTION("IMPORTRANGE(""https://docs.google.com/spreadsheets/d/1IYY_tgx_IHuhSq3AJ5eI5OnqOPBNLWSHKh2a30DoXe8/edit?usp=sharing"",""สุราษฎร์ธานี!L296"")"),81620)</f>
        <v>81620</v>
      </c>
      <c r="M401" s="379"/>
      <c r="N401" s="379">
        <f ca="1">IFERROR(__xludf.DUMMYFUNCTION("IMPORTRANGE(""https://docs.google.com/spreadsheets/d/1IYY_tgx_IHuhSq3AJ5eI5OnqOPBNLWSHKh2a30DoXe8/edit?usp=sharing"",""สุราษฎร์ธานี!M296"")"),73600)</f>
        <v>73600</v>
      </c>
      <c r="O401" s="379">
        <f ca="1">+IF(L401&gt;0,N401*100/L401,0)</f>
        <v>90.173976966429791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IFERROR(__xludf.DUMMYFUNCTION("IMPORTRANGE(""https://docs.google.com/spreadsheets/d/1IYY_tgx_IHuhSq3AJ5eI5OnqOPBNLWSHKh2a30DoXe8/edit?usp=sharing"",""สุราษฎร์ธานี!I297"")"),25)</f>
        <v>25</v>
      </c>
      <c r="J402" s="377">
        <f ca="1">IFERROR(__xludf.DUMMYFUNCTION("IMPORTRANGE(""https://docs.google.com/spreadsheets/d/1IYY_tgx_IHuhSq3AJ5eI5OnqOPBNLWSHKh2a30DoXe8/edit?usp=sharing"",""สุราษฎร์ธานี!J297"")"),25)</f>
        <v>25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IFERROR(__xludf.DUMMYFUNCTION("IMPORTRANGE(""https://docs.google.com/spreadsheets/d/1IYY_tgx_IHuhSq3AJ5eI5OnqOPBNLWSHKh2a30DoXe8/edit?usp=sharing"",""สุราษฎร์ธานี!L298"")"),0)</f>
        <v>0</v>
      </c>
      <c r="M403" s="168"/>
      <c r="N403" s="175">
        <f ca="1">IFERROR(__xludf.DUMMYFUNCTION("IMPORTRANGE(""https://docs.google.com/spreadsheets/d/1IYY_tgx_IHuhSq3AJ5eI5OnqOPBNLWSHKh2a30DoXe8/edit?usp=sharing"",""สุราษฎร์ธานี!M298"")"),0)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IFERROR(__xludf.DUMMYFUNCTION("IMPORTRANGE(""https://docs.google.com/spreadsheets/d/1IYY_tgx_IHuhSq3AJ5eI5OnqOPBNLWSHKh2a30DoXe8/edit?usp=sharing"",""สุราษฎร์ธานี!L299"")"),81620)</f>
        <v>81620</v>
      </c>
      <c r="M404" s="169"/>
      <c r="N404" s="175">
        <f ca="1">IFERROR(__xludf.DUMMYFUNCTION("IMPORTRANGE(""https://docs.google.com/spreadsheets/d/1IYY_tgx_IHuhSq3AJ5eI5OnqOPBNLWSHKh2a30DoXe8/edit?usp=sharing"",""สุราษฎร์ธานี!M299"")"),73600)</f>
        <v>73600</v>
      </c>
      <c r="O404" s="175">
        <f t="shared" ca="1" si="112"/>
        <v>90.173976966429791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IFERROR(__xludf.DUMMYFUNCTION("IMPORTRANGE(""https://docs.google.com/spreadsheets/d/1IYY_tgx_IHuhSq3AJ5eI5OnqOPBNLWSHKh2a30DoXe8/edit?usp=sharing"",""สุราษฎร์ธานี!L300"")"),0)</f>
        <v>0</v>
      </c>
      <c r="M405" s="175"/>
      <c r="N405" s="175">
        <f ca="1">IFERROR(__xludf.DUMMYFUNCTION("IMPORTRANGE(""https://docs.google.com/spreadsheets/d/1IYY_tgx_IHuhSq3AJ5eI5OnqOPBNLWSHKh2a30DoXe8/edit?usp=sharing"",""สุราษฎร์ธานี!M300"")"),0)</f>
        <v>0</v>
      </c>
      <c r="O405" s="175">
        <f t="shared" ca="1" si="112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IFERROR(__xludf.DUMMYFUNCTION("IMPORTRANGE(""https://docs.google.com/spreadsheets/d/1IYY_tgx_IHuhSq3AJ5eI5OnqOPBNLWSHKh2a30DoXe8/edit?usp=sharing"",""สุราษฎร์ธานี!L301"")"),81620)</f>
        <v>81620</v>
      </c>
      <c r="M406" s="175"/>
      <c r="N406" s="175">
        <f ca="1">IFERROR(__xludf.DUMMYFUNCTION("IMPORTRANGE(""https://docs.google.com/spreadsheets/d/1IYY_tgx_IHuhSq3AJ5eI5OnqOPBNLWSHKh2a30DoXe8/edit?usp=sharing"",""สุราษฎร์ธานี!M301"")"),73600)</f>
        <v>73600</v>
      </c>
      <c r="O406" s="175">
        <f t="shared" ca="1" si="112"/>
        <v>90.173976966429791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IFERROR(__xludf.DUMMYFUNCTION("IMPORTRANGE(""https://docs.google.com/spreadsheets/d/1IYY_tgx_IHuhSq3AJ5eI5OnqOPBNLWSHKh2a30DoXe8/edit?usp=sharing"",""สุราษฎร์ธานี!M302"")"),44900)</f>
        <v>44900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IFERROR(__xludf.DUMMYFUNCTION("IMPORTRANGE(""https://docs.google.com/spreadsheets/d/1IYY_tgx_IHuhSq3AJ5eI5OnqOPBNLWSHKh2a30DoXe8/edit?usp=sharing"",""สุราษฎร์ธานี!M303"")"),15000)</f>
        <v>15000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IFERROR(__xludf.DUMMYFUNCTION("IMPORTRANGE(""https://docs.google.com/spreadsheets/d/1IYY_tgx_IHuhSq3AJ5eI5OnqOPBNLWSHKh2a30DoXe8/edit?usp=sharing"",""สุราษฎร์ธานี!M304"")"),0)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IFERROR(__xludf.DUMMYFUNCTION("IMPORTRANGE(""https://docs.google.com/spreadsheets/d/1IYY_tgx_IHuhSq3AJ5eI5OnqOPBNLWSHKh2a30DoXe8/edit?usp=sharing"",""สุราษฎร์ธานี!M305"")"),13700)</f>
        <v>13700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IFERROR(__xludf.DUMMYFUNCTION("IMPORTRANGE(""https://docs.google.com/spreadsheets/d/1IYY_tgx_IHuhSq3AJ5eI5OnqOPBNLWSHKh2a30DoXe8/edit?usp=sharing"",""สุราษฎร์ธานี!J307"")"),0)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IFERROR(__xludf.DUMMYFUNCTION("IMPORTRANGE(""https://docs.google.com/spreadsheets/d/1IYY_tgx_IHuhSq3AJ5eI5OnqOPBNLWSHKh2a30DoXe8/edit?usp=sharing"",""สุราษฎร์ธานี!J308"")"),1)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IFERROR(__xludf.DUMMYFUNCTION("IMPORTRANGE(""https://docs.google.com/spreadsheets/d/1IYY_tgx_IHuhSq3AJ5eI5OnqOPBNLWSHKh2a30DoXe8/edit?usp=sharing"",""สุราษฎร์ธานี!J309"")"),1)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IFERROR(__xludf.DUMMYFUNCTION("IMPORTRANGE(""https://docs.google.com/spreadsheets/d/1IYY_tgx_IHuhSq3AJ5eI5OnqOPBNLWSHKh2a30DoXe8/edit?usp=sharing"",""สุราษฎร์ธานี!J310"")"),1)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IFERROR(__xludf.DUMMYFUNCTION("IMPORTRANGE(""https://docs.google.com/spreadsheets/d/1IYY_tgx_IHuhSq3AJ5eI5OnqOPBNLWSHKh2a30DoXe8/edit?usp=sharing"",""สุราษฎร์ธานี!I311"")"),25)</f>
        <v>25</v>
      </c>
      <c r="J416" s="207">
        <f ca="1">IFERROR(__xludf.DUMMYFUNCTION("IMPORTRANGE(""https://docs.google.com/spreadsheets/d/1IYY_tgx_IHuhSq3AJ5eI5OnqOPBNLWSHKh2a30DoXe8/edit?usp=sharing"",""สุราษฎร์ธานี!J311"")"),25)</f>
        <v>25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IFERROR(__xludf.DUMMYFUNCTION("IMPORTRANGE(""https://docs.google.com/spreadsheets/d/1IYY_tgx_IHuhSq3AJ5eI5OnqOPBNLWSHKh2a30DoXe8/edit?usp=sharing"",""สุราษฎร์ธานี!I312"")"),10)</f>
        <v>10</v>
      </c>
      <c r="J417" s="398">
        <f ca="1">IFERROR(__xludf.DUMMYFUNCTION("IMPORTRANGE(""https://docs.google.com/spreadsheets/d/1IYY_tgx_IHuhSq3AJ5eI5OnqOPBNLWSHKh2a30DoXe8/edit?usp=sharing"",""สุราษฎร์ธานี!J312"")"),10)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IFERROR(__xludf.DUMMYFUNCTION("IMPORTRANGE(""https://docs.google.com/spreadsheets/d/1IYY_tgx_IHuhSq3AJ5eI5OnqOPBNLWSHKh2a30DoXe8/edit?usp=sharing"",""สุราษฎร์ธานี!I313"")"),30)</f>
        <v>30</v>
      </c>
      <c r="J418" s="399">
        <f ca="1">IFERROR(__xludf.DUMMYFUNCTION("IMPORTRANGE(""https://docs.google.com/spreadsheets/d/1IYY_tgx_IHuhSq3AJ5eI5OnqOPBNLWSHKh2a30DoXe8/edit?usp=sharing"",""สุราษฎร์ธานี!J313"")"),30)</f>
        <v>30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IFERROR(__xludf.DUMMYFUNCTION("IMPORTRANGE(""https://docs.google.com/spreadsheets/d/1IYY_tgx_IHuhSq3AJ5eI5OnqOPBNLWSHKh2a30DoXe8/edit?usp=sharing"",""สุราษฎร์ธานี!I314"")"),10)</f>
        <v>10</v>
      </c>
      <c r="J419" s="400">
        <f ca="1">IFERROR(__xludf.DUMMYFUNCTION("IMPORTRANGE(""https://docs.google.com/spreadsheets/d/1IYY_tgx_IHuhSq3AJ5eI5OnqOPBNLWSHKh2a30DoXe8/edit?usp=sharing"",""สุราษฎร์ธานี!J314"")"),10)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IFERROR(__xludf.DUMMYFUNCTION("IMPORTRANGE(""https://docs.google.com/spreadsheets/d/1IYY_tgx_IHuhSq3AJ5eI5OnqOPBNLWSHKh2a30DoXe8/edit?usp=sharing"",""สุราษฎร์ธานี!I315"")"),10)</f>
        <v>10</v>
      </c>
      <c r="J420" s="400">
        <f ca="1">IFERROR(__xludf.DUMMYFUNCTION("IMPORTRANGE(""https://docs.google.com/spreadsheets/d/1IYY_tgx_IHuhSq3AJ5eI5OnqOPBNLWSHKh2a30DoXe8/edit?usp=sharing"",""สุราษฎร์ธานี!J315"")"),10)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IFERROR(__xludf.DUMMYFUNCTION("IMPORTRANGE(""https://docs.google.com/spreadsheets/d/1IYY_tgx_IHuhSq3AJ5eI5OnqOPBNLWSHKh2a30DoXe8/edit?usp=sharing"",""สุราษฎร์ธานี!I316"")"),0)</f>
        <v>0</v>
      </c>
      <c r="J421" s="398">
        <f ca="1">IFERROR(__xludf.DUMMYFUNCTION("IMPORTRANGE(""https://docs.google.com/spreadsheets/d/1IYY_tgx_IHuhSq3AJ5eI5OnqOPBNLWSHKh2a30DoXe8/edit?usp=sharing"",""สุราษฎร์ธานี!J316"")"),0)</f>
        <v>0</v>
      </c>
      <c r="K421" s="208">
        <f t="shared" ca="1" si="113"/>
        <v>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IFERROR(__xludf.DUMMYFUNCTION("IMPORTRANGE(""https://docs.google.com/spreadsheets/d/1IYY_tgx_IHuhSq3AJ5eI5OnqOPBNLWSHKh2a30DoXe8/edit?usp=sharing"",""สุราษฎร์ธานี!I317"")"),0)</f>
        <v>0</v>
      </c>
      <c r="J422" s="399">
        <f ca="1">IFERROR(__xludf.DUMMYFUNCTION("IMPORTRANGE(""https://docs.google.com/spreadsheets/d/1IYY_tgx_IHuhSq3AJ5eI5OnqOPBNLWSHKh2a30DoXe8/edit?usp=sharing"",""สุราษฎร์ธานี!J317"")"),0)</f>
        <v>0</v>
      </c>
      <c r="K422" s="208">
        <f t="shared" ca="1" si="113"/>
        <v>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IFERROR(__xludf.DUMMYFUNCTION("IMPORTRANGE(""https://docs.google.com/spreadsheets/d/1IYY_tgx_IHuhSq3AJ5eI5OnqOPBNLWSHKh2a30DoXe8/edit?usp=sharing"",""สุราษฎร์ธานี!I318"")"),0)</f>
        <v>0</v>
      </c>
      <c r="J423" s="400">
        <f ca="1">IFERROR(__xludf.DUMMYFUNCTION("IMPORTRANGE(""https://docs.google.com/spreadsheets/d/1IYY_tgx_IHuhSq3AJ5eI5OnqOPBNLWSHKh2a30DoXe8/edit?usp=sharing"",""สุราษฎร์ธานี!J318"")"),0)</f>
        <v>0</v>
      </c>
      <c r="K423" s="167">
        <f t="shared" ca="1" si="113"/>
        <v>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IFERROR(__xludf.DUMMYFUNCTION("IMPORTRANGE(""https://docs.google.com/spreadsheets/d/1IYY_tgx_IHuhSq3AJ5eI5OnqOPBNLWSHKh2a30DoXe8/edit?usp=sharing"",""สุราษฎร์ธานี!I319"")"),0)</f>
        <v>0</v>
      </c>
      <c r="J424" s="400">
        <f ca="1">IFERROR(__xludf.DUMMYFUNCTION("IMPORTRANGE(""https://docs.google.com/spreadsheets/d/1IYY_tgx_IHuhSq3AJ5eI5OnqOPBNLWSHKh2a30DoXe8/edit?usp=sharing"",""สุราษฎร์ธานี!J319"")"),0)</f>
        <v>0</v>
      </c>
      <c r="K424" s="167">
        <f t="shared" ca="1" si="113"/>
        <v>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IFERROR(__xludf.DUMMYFUNCTION("IMPORTRANGE(""https://docs.google.com/spreadsheets/d/1IYY_tgx_IHuhSq3AJ5eI5OnqOPBNLWSHKh2a30DoXe8/edit?usp=sharing"",""สุราษฎร์ธานี!I320"")"),0)</f>
        <v>0</v>
      </c>
      <c r="J425" s="400">
        <f ca="1">IFERROR(__xludf.DUMMYFUNCTION("IMPORTRANGE(""https://docs.google.com/spreadsheets/d/1IYY_tgx_IHuhSq3AJ5eI5OnqOPBNLWSHKh2a30DoXe8/edit?usp=sharing"",""สุราษฎร์ธานี!J320"")"),0)</f>
        <v>0</v>
      </c>
      <c r="K425" s="167">
        <f t="shared" ca="1" si="113"/>
        <v>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IFERROR(__xludf.DUMMYFUNCTION("IMPORTRANGE(""https://docs.google.com/spreadsheets/d/1IYY_tgx_IHuhSq3AJ5eI5OnqOPBNLWSHKh2a30DoXe8/edit?usp=sharing"",""สุราษฎร์ธานี!I321"")"),15)</f>
        <v>15</v>
      </c>
      <c r="J426" s="398">
        <f ca="1">IFERROR(__xludf.DUMMYFUNCTION("IMPORTRANGE(""https://docs.google.com/spreadsheets/d/1IYY_tgx_IHuhSq3AJ5eI5OnqOPBNLWSHKh2a30DoXe8/edit?usp=sharing"",""สุราษฎร์ธานี!J321"")"),15)</f>
        <v>15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IFERROR(__xludf.DUMMYFUNCTION("IMPORTRANGE(""https://docs.google.com/spreadsheets/d/1IYY_tgx_IHuhSq3AJ5eI5OnqOPBNLWSHKh2a30DoXe8/edit?usp=sharing"",""สุราษฎร์ธานี!I322"")"),45)</f>
        <v>45</v>
      </c>
      <c r="J427" s="399">
        <f ca="1">IFERROR(__xludf.DUMMYFUNCTION("IMPORTRANGE(""https://docs.google.com/spreadsheets/d/1IYY_tgx_IHuhSq3AJ5eI5OnqOPBNLWSHKh2a30DoXe8/edit?usp=sharing"",""สุราษฎร์ธานี!J322"")"),45)</f>
        <v>45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IFERROR(__xludf.DUMMYFUNCTION("IMPORTRANGE(""https://docs.google.com/spreadsheets/d/1IYY_tgx_IHuhSq3AJ5eI5OnqOPBNLWSHKh2a30DoXe8/edit?usp=sharing"",""สุราษฎร์ธานี!I323"")"),15)</f>
        <v>15</v>
      </c>
      <c r="J428" s="400">
        <f ca="1">IFERROR(__xludf.DUMMYFUNCTION("IMPORTRANGE(""https://docs.google.com/spreadsheets/d/1IYY_tgx_IHuhSq3AJ5eI5OnqOPBNLWSHKh2a30DoXe8/edit?usp=sharing"",""สุราษฎร์ธานี!J323"")"),15)</f>
        <v>15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IFERROR(__xludf.DUMMYFUNCTION("IMPORTRANGE(""https://docs.google.com/spreadsheets/d/1IYY_tgx_IHuhSq3AJ5eI5OnqOPBNLWSHKh2a30DoXe8/edit?usp=sharing"",""สุราษฎร์ธานี!I324"")"),15)</f>
        <v>15</v>
      </c>
      <c r="J429" s="400">
        <f ca="1">IFERROR(__xludf.DUMMYFUNCTION("IMPORTRANGE(""https://docs.google.com/spreadsheets/d/1IYY_tgx_IHuhSq3AJ5eI5OnqOPBNLWSHKh2a30DoXe8/edit?usp=sharing"",""สุราษฎร์ธานี!J324"")"),15)</f>
        <v>15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IFERROR(__xludf.DUMMYFUNCTION("IMPORTRANGE(""https://docs.google.com/spreadsheets/d/1IYY_tgx_IHuhSq3AJ5eI5OnqOPBNLWSHKh2a30DoXe8/edit?usp=sharing"",""สุราษฎร์ธานี!I325"")"),10)</f>
        <v>10</v>
      </c>
      <c r="J430" s="398">
        <f ca="1">IFERROR(__xludf.DUMMYFUNCTION("IMPORTRANGE(""https://docs.google.com/spreadsheets/d/1IYY_tgx_IHuhSq3AJ5eI5OnqOPBNLWSHKh2a30DoXe8/edit?usp=sharing"",""สุราษฎร์ธานี!J325"")"),10)</f>
        <v>10</v>
      </c>
      <c r="K430" s="208">
        <f t="shared" ca="1" si="113"/>
        <v>100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IFERROR(__xludf.DUMMYFUNCTION("IMPORTRANGE(""https://docs.google.com/spreadsheets/d/1IYY_tgx_IHuhSq3AJ5eI5OnqOPBNLWSHKh2a30DoXe8/edit?usp=sharing"",""สุราษฎร์ธานี!I326"")"),10)</f>
        <v>10</v>
      </c>
      <c r="J431" s="400">
        <f ca="1">IFERROR(__xludf.DUMMYFUNCTION("IMPORTRANGE(""https://docs.google.com/spreadsheets/d/1IYY_tgx_IHuhSq3AJ5eI5OnqOPBNLWSHKh2a30DoXe8/edit?usp=sharing"",""สุราษฎร์ธานี!J326"")"),10)</f>
        <v>10</v>
      </c>
      <c r="K431" s="167">
        <f t="shared" ca="1" si="113"/>
        <v>100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IFERROR(__xludf.DUMMYFUNCTION("IMPORTRANGE(""https://docs.google.com/spreadsheets/d/1IYY_tgx_IHuhSq3AJ5eI5OnqOPBNLWSHKh2a30DoXe8/edit?usp=sharing"",""สุราษฎร์ธานี!I327"")"),0)</f>
        <v>0</v>
      </c>
      <c r="J432" s="400">
        <f ca="1">IFERROR(__xludf.DUMMYFUNCTION("IMPORTRANGE(""https://docs.google.com/spreadsheets/d/1IYY_tgx_IHuhSq3AJ5eI5OnqOPBNLWSHKh2a30DoXe8/edit?usp=sharing"",""สุราษฎร์ธานี!J327"")"),0)</f>
        <v>0</v>
      </c>
      <c r="K432" s="167">
        <f t="shared" ca="1" si="113"/>
        <v>0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IFERROR(__xludf.DUMMYFUNCTION("IMPORTRANGE(""https://docs.google.com/spreadsheets/d/1IYY_tgx_IHuhSq3AJ5eI5OnqOPBNLWSHKh2a30DoXe8/edit?usp=sharing"",""สุราษฎร์ธานี!J328"")"),1)</f>
        <v>1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IFERROR(__xludf.DUMMYFUNCTION("IMPORTRANGE(""https://docs.google.com/spreadsheets/d/1IYY_tgx_IHuhSq3AJ5eI5OnqOPBNLWSHKh2a30DoXe8/edit?usp=sharing"",""สุราษฎร์ธานี!J329"")"),1)</f>
        <v>1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IFERROR(__xludf.DUMMYFUNCTION("IMPORTRANGE(""https://docs.google.com/spreadsheets/d/1IYY_tgx_IHuhSq3AJ5eI5OnqOPBNLWSHKh2a30DoXe8/edit?usp=sharing"",""สุราษฎร์ธานี!I330"")"),20)</f>
        <v>20</v>
      </c>
      <c r="J435" s="416">
        <f ca="1">IFERROR(__xludf.DUMMYFUNCTION("IMPORTRANGE(""https://docs.google.com/spreadsheets/d/1IYY_tgx_IHuhSq3AJ5eI5OnqOPBNLWSHKh2a30DoXe8/edit?usp=sharing"",""สุราษฎร์ธานี!J330"")"),20)</f>
        <v>20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IFERROR(__xludf.DUMMYFUNCTION("IMPORTRANGE(""https://docs.google.com/spreadsheets/d/1IYY_tgx_IHuhSq3AJ5eI5OnqOPBNLWSHKh2a30DoXe8/edit?usp=sharing"",""สุราษฎร์ธานี!L330"")"),100000)</f>
        <v>100000</v>
      </c>
      <c r="M435" s="418"/>
      <c r="N435" s="418">
        <f ca="1">IFERROR(__xludf.DUMMYFUNCTION("IMPORTRANGE(""https://docs.google.com/spreadsheets/d/1IYY_tgx_IHuhSq3AJ5eI5OnqOPBNLWSHKh2a30DoXe8/edit?usp=sharing"",""สุราษฎร์ธานี!M330"")"),100000)</f>
        <v>100000</v>
      </c>
      <c r="O435" s="418">
        <f t="shared" ref="O435:O439" ca="1" si="114">+IF(L435&gt;0,N435*100/L435,0)</f>
        <v>100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IFERROR(__xludf.DUMMYFUNCTION("IMPORTRANGE(""https://docs.google.com/spreadsheets/d/1IYY_tgx_IHuhSq3AJ5eI5OnqOPBNLWSHKh2a30DoXe8/edit?usp=sharing"",""สุราษฎร์ธานี!L331"")"),0)</f>
        <v>0</v>
      </c>
      <c r="M436" s="168"/>
      <c r="N436" s="175">
        <f ca="1">IFERROR(__xludf.DUMMYFUNCTION("IMPORTRANGE(""https://docs.google.com/spreadsheets/d/1IYY_tgx_IHuhSq3AJ5eI5OnqOPBNLWSHKh2a30DoXe8/edit?usp=sharing"",""สุราษฎร์ธานี!M331"")"),0)</f>
        <v>0</v>
      </c>
      <c r="O436" s="175">
        <f t="shared" ca="1" si="114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IFERROR(__xludf.DUMMYFUNCTION("IMPORTRANGE(""https://docs.google.com/spreadsheets/d/1IYY_tgx_IHuhSq3AJ5eI5OnqOPBNLWSHKh2a30DoXe8/edit?usp=sharing"",""สุราษฎร์ธานี!L332"")"),100000)</f>
        <v>100000</v>
      </c>
      <c r="M437" s="169"/>
      <c r="N437" s="175">
        <f ca="1">IFERROR(__xludf.DUMMYFUNCTION("IMPORTRANGE(""https://docs.google.com/spreadsheets/d/1IYY_tgx_IHuhSq3AJ5eI5OnqOPBNLWSHKh2a30DoXe8/edit?usp=sharing"",""สุราษฎร์ธานี!M332"")"),100000)</f>
        <v>100000</v>
      </c>
      <c r="O437" s="175">
        <f t="shared" ca="1" si="114"/>
        <v>100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IFERROR(__xludf.DUMMYFUNCTION("IMPORTRANGE(""https://docs.google.com/spreadsheets/d/1IYY_tgx_IHuhSq3AJ5eI5OnqOPBNLWSHKh2a30DoXe8/edit?usp=sharing"",""สุราษฎร์ธานี!L333"")"),0)</f>
        <v>0</v>
      </c>
      <c r="M438" s="175"/>
      <c r="N438" s="175">
        <f ca="1">IFERROR(__xludf.DUMMYFUNCTION("IMPORTRANGE(""https://docs.google.com/spreadsheets/d/1IYY_tgx_IHuhSq3AJ5eI5OnqOPBNLWSHKh2a30DoXe8/edit?usp=sharing"",""สุราษฎร์ธานี!M333"")"),0)</f>
        <v>0</v>
      </c>
      <c r="O438" s="175">
        <f t="shared" ca="1" si="114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IFERROR(__xludf.DUMMYFUNCTION("IMPORTRANGE(""https://docs.google.com/spreadsheets/d/1IYY_tgx_IHuhSq3AJ5eI5OnqOPBNLWSHKh2a30DoXe8/edit?usp=sharing"",""สุราษฎร์ธานี!L334"")"),100000)</f>
        <v>100000</v>
      </c>
      <c r="M439" s="175"/>
      <c r="N439" s="175">
        <f ca="1">IFERROR(__xludf.DUMMYFUNCTION("IMPORTRANGE(""https://docs.google.com/spreadsheets/d/1IYY_tgx_IHuhSq3AJ5eI5OnqOPBNLWSHKh2a30DoXe8/edit?usp=sharing"",""สุราษฎร์ธานี!M334"")"),100000)</f>
        <v>100000</v>
      </c>
      <c r="O439" s="175">
        <f t="shared" ca="1" si="114"/>
        <v>100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IFERROR(__xludf.DUMMYFUNCTION("IMPORTRANGE(""https://docs.google.com/spreadsheets/d/1IYY_tgx_IHuhSq3AJ5eI5OnqOPBNLWSHKh2a30DoXe8/edit?usp=sharing"",""สุราษฎร์ธานี!M335"")"),49200)</f>
        <v>49200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IFERROR(__xludf.DUMMYFUNCTION("IMPORTRANGE(""https://docs.google.com/spreadsheets/d/1IYY_tgx_IHuhSq3AJ5eI5OnqOPBNLWSHKh2a30DoXe8/edit?usp=sharing"",""สุราษฎร์ธานี!M336"")"),0)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IFERROR(__xludf.DUMMYFUNCTION("IMPORTRANGE(""https://docs.google.com/spreadsheets/d/1IYY_tgx_IHuhSq3AJ5eI5OnqOPBNLWSHKh2a30DoXe8/edit?usp=sharing"",""สุราษฎร์ธานี!M337"")"),0)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IFERROR(__xludf.DUMMYFUNCTION("IMPORTRANGE(""https://docs.google.com/spreadsheets/d/1IYY_tgx_IHuhSq3AJ5eI5OnqOPBNLWSHKh2a30DoXe8/edit?usp=sharing"",""สุราษฎร์ธานี!M338"")"),50800)</f>
        <v>50800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IFERROR(__xludf.DUMMYFUNCTION("IMPORTRANGE(""https://docs.google.com/spreadsheets/d/1IYY_tgx_IHuhSq3AJ5eI5OnqOPBNLWSHKh2a30DoXe8/edit?usp=sharing"",""สุราษฎร์ธานี!J340"")"),0)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IFERROR(__xludf.DUMMYFUNCTION("IMPORTRANGE(""https://docs.google.com/spreadsheets/d/1IYY_tgx_IHuhSq3AJ5eI5OnqOPBNLWSHKh2a30DoXe8/edit?usp=sharing"",""สุราษฎร์ธานี!J341"")"),1)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IFERROR(__xludf.DUMMYFUNCTION("IMPORTRANGE(""https://docs.google.com/spreadsheets/d/1IYY_tgx_IHuhSq3AJ5eI5OnqOPBNLWSHKh2a30DoXe8/edit?usp=sharing"",""สุราษฎร์ธานี!J342"")"),1)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IFERROR(__xludf.DUMMYFUNCTION("IMPORTRANGE(""https://docs.google.com/spreadsheets/d/1IYY_tgx_IHuhSq3AJ5eI5OnqOPBNLWSHKh2a30DoXe8/edit?usp=sharing"",""สุราษฎร์ธานี!J343"")"),1)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IFERROR(__xludf.DUMMYFUNCTION("IMPORTRANGE(""https://docs.google.com/spreadsheets/d/1IYY_tgx_IHuhSq3AJ5eI5OnqOPBNLWSHKh2a30DoXe8/edit?usp=sharing"",""สุราษฎร์ธานี!I344"")"),20)</f>
        <v>20</v>
      </c>
      <c r="J449" s="207">
        <f ca="1">IFERROR(__xludf.DUMMYFUNCTION("IMPORTRANGE(""https://docs.google.com/spreadsheets/d/1IYY_tgx_IHuhSq3AJ5eI5OnqOPBNLWSHKh2a30DoXe8/edit?usp=sharing"",""สุราษฎร์ธานี!J344"")"),20)</f>
        <v>20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IFERROR(__xludf.DUMMYFUNCTION("IMPORTRANGE(""https://docs.google.com/spreadsheets/d/1IYY_tgx_IHuhSq3AJ5eI5OnqOPBNLWSHKh2a30DoXe8/edit?usp=sharing"",""สุราษฎร์ธานี!I345"")"),20)</f>
        <v>20</v>
      </c>
      <c r="J450" s="195">
        <f ca="1">IFERROR(__xludf.DUMMYFUNCTION("IMPORTRANGE(""https://docs.google.com/spreadsheets/d/1IYY_tgx_IHuhSq3AJ5eI5OnqOPBNLWSHKh2a30DoXe8/edit?usp=sharing"",""สุราษฎร์ธานี!J345"")"),20)</f>
        <v>20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IFERROR(__xludf.DUMMYFUNCTION("IMPORTRANGE(""https://docs.google.com/spreadsheets/d/1IYY_tgx_IHuhSq3AJ5eI5OnqOPBNLWSHKh2a30DoXe8/edit?usp=sharing"",""สุราษฎร์ธานี!I346"")"),0)</f>
        <v>0</v>
      </c>
      <c r="J451" s="194">
        <f ca="1">IFERROR(__xludf.DUMMYFUNCTION("IMPORTRANGE(""https://docs.google.com/spreadsheets/d/1IYY_tgx_IHuhSq3AJ5eI5OnqOPBNLWSHKh2a30DoXe8/edit?usp=sharing"",""สุราษฎร์ธานี!J346"")"),0)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IFERROR(__xludf.DUMMYFUNCTION("IMPORTRANGE(""https://docs.google.com/spreadsheets/d/1IYY_tgx_IHuhSq3AJ5eI5OnqOPBNLWSHKh2a30DoXe8/edit?usp=sharing"",""สุราษฎร์ธานี!I347"")"),0)</f>
        <v>0</v>
      </c>
      <c r="J452" s="194">
        <f ca="1">IFERROR(__xludf.DUMMYFUNCTION("IMPORTRANGE(""https://docs.google.com/spreadsheets/d/1IYY_tgx_IHuhSq3AJ5eI5OnqOPBNLWSHKh2a30DoXe8/edit?usp=sharing"",""สุราษฎร์ธานี!J347"")"),0)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IFERROR(__xludf.DUMMYFUNCTION("IMPORTRANGE(""https://docs.google.com/spreadsheets/d/1IYY_tgx_IHuhSq3AJ5eI5OnqOPBNLWSHKh2a30DoXe8/edit?usp=sharing"",""สุราษฎร์ธานี!J348"")"),0)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IFERROR(__xludf.DUMMYFUNCTION("IMPORTRANGE(""https://docs.google.com/spreadsheets/d/1IYY_tgx_IHuhSq3AJ5eI5OnqOPBNLWSHKh2a30DoXe8/edit?usp=sharing"",""สุราษฎร์ธานี!J349"")"),1)</f>
        <v>1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IFERROR(__xludf.DUMMYFUNCTION("IMPORTRANGE(""https://docs.google.com/spreadsheets/d/1IYY_tgx_IHuhSq3AJ5eI5OnqOPBNLWSHKh2a30DoXe8/edit?usp=sharing"",""สุราษฎร์ธานี!I350"")"),151732)</f>
        <v>151732</v>
      </c>
      <c r="J455" s="377">
        <f ca="1">IFERROR(__xludf.DUMMYFUNCTION("IMPORTRANGE(""https://docs.google.com/spreadsheets/d/1IYY_tgx_IHuhSq3AJ5eI5OnqOPBNLWSHKh2a30DoXe8/edit?usp=sharing"",""สุราษฎร์ธานี!J350"")"),151732)</f>
        <v>151732</v>
      </c>
      <c r="K455" s="378">
        <f ca="1">IF(I455&gt;0,J455*100/I455,0)</f>
        <v>100</v>
      </c>
      <c r="L455" s="379">
        <f ca="1">IFERROR(__xludf.DUMMYFUNCTION("IMPORTRANGE(""https://docs.google.com/spreadsheets/d/1IYY_tgx_IHuhSq3AJ5eI5OnqOPBNLWSHKh2a30DoXe8/edit?usp=sharing"",""สุราษฎร์ธานี!L350"")"),1026696)</f>
        <v>1026696</v>
      </c>
      <c r="M455" s="379"/>
      <c r="N455" s="379">
        <f ca="1">IFERROR(__xludf.DUMMYFUNCTION("IMPORTRANGE(""https://docs.google.com/spreadsheets/d/1IYY_tgx_IHuhSq3AJ5eI5OnqOPBNLWSHKh2a30DoXe8/edit?usp=sharing"",""สุราษฎร์ธานี!M350"")"),372326.62)</f>
        <v>372326.62</v>
      </c>
      <c r="O455" s="379">
        <f t="shared" ref="O455:O459" ca="1" si="116">+IF(L455&gt;0,N455*100/L455,0)</f>
        <v>36.264543740308717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IFERROR(__xludf.DUMMYFUNCTION("IMPORTRANGE(""https://docs.google.com/spreadsheets/d/1IYY_tgx_IHuhSq3AJ5eI5OnqOPBNLWSHKh2a30DoXe8/edit?usp=sharing"",""สุราษฎร์ธานี!L351"")"),0)</f>
        <v>0</v>
      </c>
      <c r="M456" s="168"/>
      <c r="N456" s="175">
        <f ca="1">IFERROR(__xludf.DUMMYFUNCTION("IMPORTRANGE(""https://docs.google.com/spreadsheets/d/1IYY_tgx_IHuhSq3AJ5eI5OnqOPBNLWSHKh2a30DoXe8/edit?usp=sharing"",""สุราษฎร์ธานี!M351"")"),0)</f>
        <v>0</v>
      </c>
      <c r="O456" s="175">
        <f t="shared" ca="1" si="116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IFERROR(__xludf.DUMMYFUNCTION("IMPORTRANGE(""https://docs.google.com/spreadsheets/d/1IYY_tgx_IHuhSq3AJ5eI5OnqOPBNLWSHKh2a30DoXe8/edit?usp=sharing"",""สุราษฎร์ธานี!L352"")"),1026696)</f>
        <v>1026696</v>
      </c>
      <c r="M457" s="169"/>
      <c r="N457" s="175">
        <f ca="1">IFERROR(__xludf.DUMMYFUNCTION("IMPORTRANGE(""https://docs.google.com/spreadsheets/d/1IYY_tgx_IHuhSq3AJ5eI5OnqOPBNLWSHKh2a30DoXe8/edit?usp=sharing"",""สุราษฎร์ธานี!M352"")"),372326.62)</f>
        <v>372326.62</v>
      </c>
      <c r="O457" s="175">
        <f t="shared" ca="1" si="116"/>
        <v>36.264543740308717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IFERROR(__xludf.DUMMYFUNCTION("IMPORTRANGE(""https://docs.google.com/spreadsheets/d/1IYY_tgx_IHuhSq3AJ5eI5OnqOPBNLWSHKh2a30DoXe8/edit?usp=sharing"",""สุราษฎร์ธานี!L353"")"),0)</f>
        <v>0</v>
      </c>
      <c r="M458" s="175"/>
      <c r="N458" s="175">
        <f ca="1">IFERROR(__xludf.DUMMYFUNCTION("IMPORTRANGE(""https://docs.google.com/spreadsheets/d/1IYY_tgx_IHuhSq3AJ5eI5OnqOPBNLWSHKh2a30DoXe8/edit?usp=sharing"",""สุราษฎร์ธานี!M353"")"),0)</f>
        <v>0</v>
      </c>
      <c r="O458" s="175">
        <f t="shared" ca="1" si="116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IFERROR(__xludf.DUMMYFUNCTION("IMPORTRANGE(""https://docs.google.com/spreadsheets/d/1IYY_tgx_IHuhSq3AJ5eI5OnqOPBNLWSHKh2a30DoXe8/edit?usp=sharing"",""สุราษฎร์ธานี!L354"")"),1026696)</f>
        <v>1026696</v>
      </c>
      <c r="M459" s="175"/>
      <c r="N459" s="175">
        <f ca="1">IFERROR(__xludf.DUMMYFUNCTION("IMPORTRANGE(""https://docs.google.com/spreadsheets/d/1IYY_tgx_IHuhSq3AJ5eI5OnqOPBNLWSHKh2a30DoXe8/edit?usp=sharing"",""สุราษฎร์ธานี!M354"")"),372326.62)</f>
        <v>372326.62</v>
      </c>
      <c r="O459" s="175">
        <f t="shared" ca="1" si="116"/>
        <v>36.264543740308717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IFERROR(__xludf.DUMMYFUNCTION("IMPORTRANGE(""https://docs.google.com/spreadsheets/d/1IYY_tgx_IHuhSq3AJ5eI5OnqOPBNLWSHKh2a30DoXe8/edit?usp=sharing"",""สุราษฎร์ธานี!M355"")"),0)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IFERROR(__xludf.DUMMYFUNCTION("IMPORTRANGE(""https://docs.google.com/spreadsheets/d/1IYY_tgx_IHuhSq3AJ5eI5OnqOPBNLWSHKh2a30DoXe8/edit?usp=sharing"",""สุราษฎร์ธานี!M356"")"),0)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IFERROR(__xludf.DUMMYFUNCTION("IMPORTRANGE(""https://docs.google.com/spreadsheets/d/1IYY_tgx_IHuhSq3AJ5eI5OnqOPBNLWSHKh2a30DoXe8/edit?usp=sharing"",""สุราษฎร์ธานี!M357"")"),136541.99)</f>
        <v>136541.99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IFERROR(__xludf.DUMMYFUNCTION("IMPORTRANGE(""https://docs.google.com/spreadsheets/d/1IYY_tgx_IHuhSq3AJ5eI5OnqOPBNLWSHKh2a30DoXe8/edit?usp=sharing"",""สุราษฎร์ธานี!M358"")"),235784.63)</f>
        <v>235784.63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IFERROR(__xludf.DUMMYFUNCTION("IMPORTRANGE(""https://docs.google.com/spreadsheets/d/1IYY_tgx_IHuhSq3AJ5eI5OnqOPBNLWSHKh2a30DoXe8/edit?usp=sharing"",""สุราษฎร์ธานี!I359"")"),151732)</f>
        <v>151732</v>
      </c>
      <c r="J464" s="273">
        <f ca="1">IFERROR(__xludf.DUMMYFUNCTION("IMPORTRANGE(""https://docs.google.com/spreadsheets/d/1IYY_tgx_IHuhSq3AJ5eI5OnqOPBNLWSHKh2a30DoXe8/edit?usp=sharing"",""สุราษฎร์ธานี!J359"")"),151732)</f>
        <v>151732</v>
      </c>
      <c r="K464" s="274">
        <f t="shared" ref="K464:K515" ca="1" si="117">IF(I464&gt;0,J464*100/I464,0)</f>
        <v>100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IFERROR(__xludf.DUMMYFUNCTION("IMPORTRANGE(""https://docs.google.com/spreadsheets/d/1IYY_tgx_IHuhSq3AJ5eI5OnqOPBNLWSHKh2a30DoXe8/edit?usp=sharing"",""สุราษฎร์ธานี!I360"")"),151732)</f>
        <v>151732</v>
      </c>
      <c r="J465" s="426">
        <f ca="1">IFERROR(__xludf.DUMMYFUNCTION("IMPORTRANGE(""https://docs.google.com/spreadsheets/d/1IYY_tgx_IHuhSq3AJ5eI5OnqOPBNLWSHKh2a30DoXe8/edit?usp=sharing"",""สุราษฎร์ธานี!J360"")"),151732)</f>
        <v>151732</v>
      </c>
      <c r="K465" s="208">
        <f t="shared" ca="1" si="117"/>
        <v>100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IFERROR(__xludf.DUMMYFUNCTION("IMPORTRANGE(""https://docs.google.com/spreadsheets/d/1IYY_tgx_IHuhSq3AJ5eI5OnqOPBNLWSHKh2a30DoXe8/edit?usp=sharing"",""สุราษฎร์ธานี!I361"")"),11860)</f>
        <v>11860</v>
      </c>
      <c r="J466" s="426">
        <f ca="1">IFERROR(__xludf.DUMMYFUNCTION("IMPORTRANGE(""https://docs.google.com/spreadsheets/d/1IYY_tgx_IHuhSq3AJ5eI5OnqOPBNLWSHKh2a30DoXe8/edit?usp=sharing"",""สุราษฎร์ธานี!J361"")"),11860)</f>
        <v>11860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IFERROR(__xludf.DUMMYFUNCTION("IMPORTRANGE(""https://docs.google.com/spreadsheets/d/1IYY_tgx_IHuhSq3AJ5eI5OnqOPBNLWSHKh2a30DoXe8/edit?usp=sharing"",""สุราษฎร์ธานี!I362"")"),0)</f>
        <v>0</v>
      </c>
      <c r="J467" s="195">
        <f ca="1">IFERROR(__xludf.DUMMYFUNCTION("IMPORTRANGE(""https://docs.google.com/spreadsheets/d/1IYY_tgx_IHuhSq3AJ5eI5OnqOPBNLWSHKh2a30DoXe8/edit?usp=sharing"",""สุราษฎร์ธานี!J362"")"),124821)</f>
        <v>124821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IFERROR(__xludf.DUMMYFUNCTION("IMPORTRANGE(""https://docs.google.com/spreadsheets/d/1IYY_tgx_IHuhSq3AJ5eI5OnqOPBNLWSHKh2a30DoXe8/edit?usp=sharing"",""สุราษฎร์ธานี!I363"")"),0)</f>
        <v>0</v>
      </c>
      <c r="J468" s="195">
        <f ca="1">IFERROR(__xludf.DUMMYFUNCTION("IMPORTRANGE(""https://docs.google.com/spreadsheets/d/1IYY_tgx_IHuhSq3AJ5eI5OnqOPBNLWSHKh2a30DoXe8/edit?usp=sharing"",""สุราษฎร์ธานี!J363"")"),10053)</f>
        <v>10053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IFERROR(__xludf.DUMMYFUNCTION("IMPORTRANGE(""https://docs.google.com/spreadsheets/d/1IYY_tgx_IHuhSq3AJ5eI5OnqOPBNLWSHKh2a30DoXe8/edit?usp=sharing"",""สุราษฎร์ธานี!I364"")"),0)</f>
        <v>0</v>
      </c>
      <c r="J469" s="195">
        <f ca="1">IFERROR(__xludf.DUMMYFUNCTION("IMPORTRANGE(""https://docs.google.com/spreadsheets/d/1IYY_tgx_IHuhSq3AJ5eI5OnqOPBNLWSHKh2a30DoXe8/edit?usp=sharing"",""สุราษฎร์ธานี!J364"")"),25562)</f>
        <v>25562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IFERROR(__xludf.DUMMYFUNCTION("IMPORTRANGE(""https://docs.google.com/spreadsheets/d/1IYY_tgx_IHuhSq3AJ5eI5OnqOPBNLWSHKh2a30DoXe8/edit?usp=sharing"",""สุราษฎร์ธานี!I365"")"),0)</f>
        <v>0</v>
      </c>
      <c r="J470" s="195">
        <f ca="1">IFERROR(__xludf.DUMMYFUNCTION("IMPORTRANGE(""https://docs.google.com/spreadsheets/d/1IYY_tgx_IHuhSq3AJ5eI5OnqOPBNLWSHKh2a30DoXe8/edit?usp=sharing"",""สุราษฎร์ธานี!J365"")"),1694)</f>
        <v>1694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IFERROR(__xludf.DUMMYFUNCTION("IMPORTRANGE(""https://docs.google.com/spreadsheets/d/1IYY_tgx_IHuhSq3AJ5eI5OnqOPBNLWSHKh2a30DoXe8/edit?usp=sharing"",""สุราษฎร์ธานี!I366"")"),0)</f>
        <v>0</v>
      </c>
      <c r="J471" s="195">
        <f ca="1">IFERROR(__xludf.DUMMYFUNCTION("IMPORTRANGE(""https://docs.google.com/spreadsheets/d/1IYY_tgx_IHuhSq3AJ5eI5OnqOPBNLWSHKh2a30DoXe8/edit?usp=sharing"",""สุราษฎร์ธานี!J366"")"),1349)</f>
        <v>1349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IFERROR(__xludf.DUMMYFUNCTION("IMPORTRANGE(""https://docs.google.com/spreadsheets/d/1IYY_tgx_IHuhSq3AJ5eI5OnqOPBNLWSHKh2a30DoXe8/edit?usp=sharing"",""สุราษฎร์ธานี!I367"")"),0)</f>
        <v>0</v>
      </c>
      <c r="J472" s="195">
        <f ca="1">IFERROR(__xludf.DUMMYFUNCTION("IMPORTRANGE(""https://docs.google.com/spreadsheets/d/1IYY_tgx_IHuhSq3AJ5eI5OnqOPBNLWSHKh2a30DoXe8/edit?usp=sharing"",""สุราษฎร์ธานี!J367"")"),113)</f>
        <v>113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IFERROR(__xludf.DUMMYFUNCTION("IMPORTRANGE(""https://docs.google.com/spreadsheets/d/1IYY_tgx_IHuhSq3AJ5eI5OnqOPBNLWSHKh2a30DoXe8/edit?usp=sharing"",""สุราษฎร์ธานี!I368"")"),151732)</f>
        <v>151732</v>
      </c>
      <c r="J473" s="426">
        <f ca="1">IFERROR(__xludf.DUMMYFUNCTION("IMPORTRANGE(""https://docs.google.com/spreadsheets/d/1IYY_tgx_IHuhSq3AJ5eI5OnqOPBNLWSHKh2a30DoXe8/edit?usp=sharing"",""สุราษฎร์ธานี!J368"")"),151732)</f>
        <v>151732</v>
      </c>
      <c r="K473" s="208">
        <f t="shared" ca="1" si="117"/>
        <v>100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IFERROR(__xludf.DUMMYFUNCTION("IMPORTRANGE(""https://docs.google.com/spreadsheets/d/1IYY_tgx_IHuhSq3AJ5eI5OnqOPBNLWSHKh2a30DoXe8/edit?usp=sharing"",""สุราษฎร์ธานี!I369"")"),11860)</f>
        <v>11860</v>
      </c>
      <c r="J474" s="426">
        <f ca="1">IFERROR(__xludf.DUMMYFUNCTION("IMPORTRANGE(""https://docs.google.com/spreadsheets/d/1IYY_tgx_IHuhSq3AJ5eI5OnqOPBNLWSHKh2a30DoXe8/edit?usp=sharing"",""สุราษฎร์ธานี!J369"")"),11860)</f>
        <v>11860</v>
      </c>
      <c r="K474" s="208">
        <f t="shared" ca="1" si="117"/>
        <v>100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IFERROR(__xludf.DUMMYFUNCTION("IMPORTRANGE(""https://docs.google.com/spreadsheets/d/1IYY_tgx_IHuhSq3AJ5eI5OnqOPBNLWSHKh2a30DoXe8/edit?usp=sharing"",""สุราษฎร์ธานี!I370"")"),0)</f>
        <v>0</v>
      </c>
      <c r="J475" s="195">
        <f ca="1">IFERROR(__xludf.DUMMYFUNCTION("IMPORTRANGE(""https://docs.google.com/spreadsheets/d/1IYY_tgx_IHuhSq3AJ5eI5OnqOPBNLWSHKh2a30DoXe8/edit?usp=sharing"",""สุราษฎร์ธานี!J370"")"),125062)</f>
        <v>125062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IFERROR(__xludf.DUMMYFUNCTION("IMPORTRANGE(""https://docs.google.com/spreadsheets/d/1IYY_tgx_IHuhSq3AJ5eI5OnqOPBNLWSHKh2a30DoXe8/edit?usp=sharing"",""สุราษฎร์ธานี!I371"")"),0)</f>
        <v>0</v>
      </c>
      <c r="J476" s="195">
        <f ca="1">IFERROR(__xludf.DUMMYFUNCTION("IMPORTRANGE(""https://docs.google.com/spreadsheets/d/1IYY_tgx_IHuhSq3AJ5eI5OnqOPBNLWSHKh2a30DoXe8/edit?usp=sharing"",""สุราษฎร์ธานี!J371"")"),10038)</f>
        <v>10038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IFERROR(__xludf.DUMMYFUNCTION("IMPORTRANGE(""https://docs.google.com/spreadsheets/d/1IYY_tgx_IHuhSq3AJ5eI5OnqOPBNLWSHKh2a30DoXe8/edit?usp=sharing"",""สุราษฎร์ธานี!I372"")"),0)</f>
        <v>0</v>
      </c>
      <c r="J477" s="195">
        <f ca="1">IFERROR(__xludf.DUMMYFUNCTION("IMPORTRANGE(""https://docs.google.com/spreadsheets/d/1IYY_tgx_IHuhSq3AJ5eI5OnqOPBNLWSHKh2a30DoXe8/edit?usp=sharing"",""สุราษฎร์ธานี!J372"")"),25278)</f>
        <v>25278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IFERROR(__xludf.DUMMYFUNCTION("IMPORTRANGE(""https://docs.google.com/spreadsheets/d/1IYY_tgx_IHuhSq3AJ5eI5OnqOPBNLWSHKh2a30DoXe8/edit?usp=sharing"",""สุราษฎร์ธานี!I373"")"),0)</f>
        <v>0</v>
      </c>
      <c r="J478" s="195">
        <f ca="1">IFERROR(__xludf.DUMMYFUNCTION("IMPORTRANGE(""https://docs.google.com/spreadsheets/d/1IYY_tgx_IHuhSq3AJ5eI5OnqOPBNLWSHKh2a30DoXe8/edit?usp=sharing"",""สุราษฎร์ธานี!J373"")"),1706)</f>
        <v>1706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IFERROR(__xludf.DUMMYFUNCTION("IMPORTRANGE(""https://docs.google.com/spreadsheets/d/1IYY_tgx_IHuhSq3AJ5eI5OnqOPBNLWSHKh2a30DoXe8/edit?usp=sharing"",""สุราษฎร์ธานี!I374"")"),0)</f>
        <v>0</v>
      </c>
      <c r="J479" s="195">
        <f ca="1">IFERROR(__xludf.DUMMYFUNCTION("IMPORTRANGE(""https://docs.google.com/spreadsheets/d/1IYY_tgx_IHuhSq3AJ5eI5OnqOPBNLWSHKh2a30DoXe8/edit?usp=sharing"",""สุราษฎร์ธานี!J374"")"),1392)</f>
        <v>1392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IFERROR(__xludf.DUMMYFUNCTION("IMPORTRANGE(""https://docs.google.com/spreadsheets/d/1IYY_tgx_IHuhSq3AJ5eI5OnqOPBNLWSHKh2a30DoXe8/edit?usp=sharing"",""สุราษฎร์ธานี!I375"")"),0)</f>
        <v>0</v>
      </c>
      <c r="J480" s="195">
        <f ca="1">IFERROR(__xludf.DUMMYFUNCTION("IMPORTRANGE(""https://docs.google.com/spreadsheets/d/1IYY_tgx_IHuhSq3AJ5eI5OnqOPBNLWSHKh2a30DoXe8/edit?usp=sharing"",""สุราษฎร์ธานี!J375"")"),116)</f>
        <v>116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IFERROR(__xludf.DUMMYFUNCTION("IMPORTRANGE(""https://docs.google.com/spreadsheets/d/1IYY_tgx_IHuhSq3AJ5eI5OnqOPBNLWSHKh2a30DoXe8/edit?usp=sharing"",""สุราษฎร์ธานี!I376"")"),151732)</f>
        <v>151732</v>
      </c>
      <c r="J481" s="426">
        <f ca="1">IFERROR(__xludf.DUMMYFUNCTION("IMPORTRANGE(""https://docs.google.com/spreadsheets/d/1IYY_tgx_IHuhSq3AJ5eI5OnqOPBNLWSHKh2a30DoXe8/edit?usp=sharing"",""สุราษฎร์ธานี!J376"")"),151732)</f>
        <v>151732</v>
      </c>
      <c r="K481" s="208">
        <f t="shared" ca="1" si="117"/>
        <v>100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IFERROR(__xludf.DUMMYFUNCTION("IMPORTRANGE(""https://docs.google.com/spreadsheets/d/1IYY_tgx_IHuhSq3AJ5eI5OnqOPBNLWSHKh2a30DoXe8/edit?usp=sharing"",""สุราษฎร์ธานี!I377"")"),11860)</f>
        <v>11860</v>
      </c>
      <c r="J482" s="426">
        <f ca="1">IFERROR(__xludf.DUMMYFUNCTION("IMPORTRANGE(""https://docs.google.com/spreadsheets/d/1IYY_tgx_IHuhSq3AJ5eI5OnqOPBNLWSHKh2a30DoXe8/edit?usp=sharing"",""สุราษฎร์ธานี!J377"")"),11860)</f>
        <v>11860</v>
      </c>
      <c r="K482" s="208">
        <f t="shared" ca="1" si="117"/>
        <v>100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IFERROR(__xludf.DUMMYFUNCTION("IMPORTRANGE(""https://docs.google.com/spreadsheets/d/1IYY_tgx_IHuhSq3AJ5eI5OnqOPBNLWSHKh2a30DoXe8/edit?usp=sharing"",""สุราษฎร์ธานี!I378"")"),0)</f>
        <v>0</v>
      </c>
      <c r="J483" s="195">
        <f ca="1">IFERROR(__xludf.DUMMYFUNCTION("IMPORTRANGE(""https://docs.google.com/spreadsheets/d/1IYY_tgx_IHuhSq3AJ5eI5OnqOPBNLWSHKh2a30DoXe8/edit?usp=sharing"",""สุราษฎร์ธานี!J378"")"),135250)</f>
        <v>135250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IFERROR(__xludf.DUMMYFUNCTION("IMPORTRANGE(""https://docs.google.com/spreadsheets/d/1IYY_tgx_IHuhSq3AJ5eI5OnqOPBNLWSHKh2a30DoXe8/edit?usp=sharing"",""สุราษฎร์ธานี!I379"")"),0)</f>
        <v>0</v>
      </c>
      <c r="J484" s="195">
        <f ca="1">IFERROR(__xludf.DUMMYFUNCTION("IMPORTRANGE(""https://docs.google.com/spreadsheets/d/1IYY_tgx_IHuhSq3AJ5eI5OnqOPBNLWSHKh2a30DoXe8/edit?usp=sharing"",""สุราษฎร์ธานี!J379"")"),10605)</f>
        <v>10605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IFERROR(__xludf.DUMMYFUNCTION("IMPORTRANGE(""https://docs.google.com/spreadsheets/d/1IYY_tgx_IHuhSq3AJ5eI5OnqOPBNLWSHKh2a30DoXe8/edit?usp=sharing"",""สุราษฎร์ธานี!I380"")"),0)</f>
        <v>0</v>
      </c>
      <c r="J485" s="195">
        <f ca="1">IFERROR(__xludf.DUMMYFUNCTION("IMPORTRANGE(""https://docs.google.com/spreadsheets/d/1IYY_tgx_IHuhSq3AJ5eI5OnqOPBNLWSHKh2a30DoXe8/edit?usp=sharing"",""สุราษฎร์ธานี!J380"")"),1)</f>
        <v>1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IFERROR(__xludf.DUMMYFUNCTION("IMPORTRANGE(""https://docs.google.com/spreadsheets/d/1IYY_tgx_IHuhSq3AJ5eI5OnqOPBNLWSHKh2a30DoXe8/edit?usp=sharing"",""สุราษฎร์ธานี!I381"")"),0)</f>
        <v>0</v>
      </c>
      <c r="J486" s="195">
        <f ca="1">IFERROR(__xludf.DUMMYFUNCTION("IMPORTRANGE(""https://docs.google.com/spreadsheets/d/1IYY_tgx_IHuhSq3AJ5eI5OnqOPBNLWSHKh2a30DoXe8/edit?usp=sharing"",""สุราษฎร์ธานี!J381"")"),1)</f>
        <v>1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IFERROR(__xludf.DUMMYFUNCTION("IMPORTRANGE(""https://docs.google.com/spreadsheets/d/1IYY_tgx_IHuhSq3AJ5eI5OnqOPBNLWSHKh2a30DoXe8/edit?usp=sharing"",""สุราษฎร์ธานี!I382"")"),0)</f>
        <v>0</v>
      </c>
      <c r="J487" s="426">
        <f ca="1">IFERROR(__xludf.DUMMYFUNCTION("IMPORTRANGE(""https://docs.google.com/spreadsheets/d/1IYY_tgx_IHuhSq3AJ5eI5OnqOPBNLWSHKh2a30DoXe8/edit?usp=sharing"",""สุราษฎร์ธานี!J382"")"),1422)</f>
        <v>1422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IFERROR(__xludf.DUMMYFUNCTION("IMPORTRANGE(""https://docs.google.com/spreadsheets/d/1IYY_tgx_IHuhSq3AJ5eI5OnqOPBNLWSHKh2a30DoXe8/edit?usp=sharing"",""สุราษฎร์ธานี!I383"")"),0)</f>
        <v>0</v>
      </c>
      <c r="J488" s="426">
        <f ca="1">IFERROR(__xludf.DUMMYFUNCTION("IMPORTRANGE(""https://docs.google.com/spreadsheets/d/1IYY_tgx_IHuhSq3AJ5eI5OnqOPBNLWSHKh2a30DoXe8/edit?usp=sharing"",""สุราษฎร์ธานี!J383"")"),119)</f>
        <v>119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IFERROR(__xludf.DUMMYFUNCTION("IMPORTRANGE(""https://docs.google.com/spreadsheets/d/1IYY_tgx_IHuhSq3AJ5eI5OnqOPBNLWSHKh2a30DoXe8/edit?usp=sharing"",""สุราษฎร์ธานี!I384"")"),0)</f>
        <v>0</v>
      </c>
      <c r="J489" s="195">
        <f ca="1">IFERROR(__xludf.DUMMYFUNCTION("IMPORTRANGE(""https://docs.google.com/spreadsheets/d/1IYY_tgx_IHuhSq3AJ5eI5OnqOPBNLWSHKh2a30DoXe8/edit?usp=sharing"",""สุราษฎร์ธานี!J384"")"),1369)</f>
        <v>1369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IFERROR(__xludf.DUMMYFUNCTION("IMPORTRANGE(""https://docs.google.com/spreadsheets/d/1IYY_tgx_IHuhSq3AJ5eI5OnqOPBNLWSHKh2a30DoXe8/edit?usp=sharing"",""สุราษฎร์ธานี!I385"")"),0)</f>
        <v>0</v>
      </c>
      <c r="J490" s="195">
        <f ca="1">IFERROR(__xludf.DUMMYFUNCTION("IMPORTRANGE(""https://docs.google.com/spreadsheets/d/1IYY_tgx_IHuhSq3AJ5eI5OnqOPBNLWSHKh2a30DoXe8/edit?usp=sharing"",""สุราษฎร์ธานี!J385"")"),114)</f>
        <v>114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IFERROR(__xludf.DUMMYFUNCTION("IMPORTRANGE(""https://docs.google.com/spreadsheets/d/1IYY_tgx_IHuhSq3AJ5eI5OnqOPBNLWSHKh2a30DoXe8/edit?usp=sharing"",""สุราษฎร์ธานี!I386"")"),0)</f>
        <v>0</v>
      </c>
      <c r="J491" s="195">
        <f ca="1">IFERROR(__xludf.DUMMYFUNCTION("IMPORTRANGE(""https://docs.google.com/spreadsheets/d/1IYY_tgx_IHuhSq3AJ5eI5OnqOPBNLWSHKh2a30DoXe8/edit?usp=sharing"",""สุราษฎร์ธานี!J386"")"),53)</f>
        <v>53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IFERROR(__xludf.DUMMYFUNCTION("IMPORTRANGE(""https://docs.google.com/spreadsheets/d/1IYY_tgx_IHuhSq3AJ5eI5OnqOPBNLWSHKh2a30DoXe8/edit?usp=sharing"",""สุราษฎร์ธานี!I387"")"),0)</f>
        <v>0</v>
      </c>
      <c r="J492" s="195">
        <f ca="1">IFERROR(__xludf.DUMMYFUNCTION("IMPORTRANGE(""https://docs.google.com/spreadsheets/d/1IYY_tgx_IHuhSq3AJ5eI5OnqOPBNLWSHKh2a30DoXe8/edit?usp=sharing"",""สุราษฎร์ธานี!J387"")"),5)</f>
        <v>5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IFERROR(__xludf.DUMMYFUNCTION("IMPORTRANGE(""https://docs.google.com/spreadsheets/d/1IYY_tgx_IHuhSq3AJ5eI5OnqOPBNLWSHKh2a30DoXe8/edit?usp=sharing"",""สุราษฎร์ธานี!I388"")"),0)</f>
        <v>0</v>
      </c>
      <c r="J493" s="195">
        <f ca="1">IFERROR(__xludf.DUMMYFUNCTION("IMPORTRANGE(""https://docs.google.com/spreadsheets/d/1IYY_tgx_IHuhSq3AJ5eI5OnqOPBNLWSHKh2a30DoXe8/edit?usp=sharing"",""สุราษฎร์ธานี!J388"")"),15059)</f>
        <v>15059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IFERROR(__xludf.DUMMYFUNCTION("IMPORTRANGE(""https://docs.google.com/spreadsheets/d/1IYY_tgx_IHuhSq3AJ5eI5OnqOPBNLWSHKh2a30DoXe8/edit?usp=sharing"",""สุราษฎร์ธานี!I389"")"),0)</f>
        <v>0</v>
      </c>
      <c r="J494" s="442">
        <f ca="1">IFERROR(__xludf.DUMMYFUNCTION("IMPORTRANGE(""https://docs.google.com/spreadsheets/d/1IYY_tgx_IHuhSq3AJ5eI5OnqOPBNLWSHKh2a30DoXe8/edit?usp=sharing"",""สุราษฎร์ธานี!J389"")"),1135)</f>
        <v>1135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IFERROR(__xludf.DUMMYFUNCTION("IMPORTRANGE(""https://docs.google.com/spreadsheets/d/1IYY_tgx_IHuhSq3AJ5eI5OnqOPBNLWSHKh2a30DoXe8/edit?usp=sharing"",""สุราษฎร์ธานี!I390"")"),0)</f>
        <v>0</v>
      </c>
      <c r="J495" s="442">
        <f ca="1">IFERROR(__xludf.DUMMYFUNCTION("IMPORTRANGE(""https://docs.google.com/spreadsheets/d/1IYY_tgx_IHuhSq3AJ5eI5OnqOPBNLWSHKh2a30DoXe8/edit?usp=sharing"",""สุราษฎร์ธานี!J390"")"),0)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IFERROR(__xludf.DUMMYFUNCTION("IMPORTRANGE(""https://docs.google.com/spreadsheets/d/1IYY_tgx_IHuhSq3AJ5eI5OnqOPBNLWSHKh2a30DoXe8/edit?usp=sharing"",""สุราษฎร์ธานี!I391"")"),0)</f>
        <v>0</v>
      </c>
      <c r="J496" s="442">
        <f ca="1">IFERROR(__xludf.DUMMYFUNCTION("IMPORTRANGE(""https://docs.google.com/spreadsheets/d/1IYY_tgx_IHuhSq3AJ5eI5OnqOPBNLWSHKh2a30DoXe8/edit?usp=sharing"",""สุราษฎร์ธานี!J391"")"),0)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IFERROR(__xludf.DUMMYFUNCTION("IMPORTRANGE(""https://docs.google.com/spreadsheets/d/1IYY_tgx_IHuhSq3AJ5eI5OnqOPBNLWSHKh2a30DoXe8/edit?usp=sharing"",""สุราษฎร์ธานี!I392"")"),6181)</f>
        <v>6181</v>
      </c>
      <c r="J497" s="449">
        <f ca="1">IFERROR(__xludf.DUMMYFUNCTION("IMPORTRANGE(""https://docs.google.com/spreadsheets/d/1IYY_tgx_IHuhSq3AJ5eI5OnqOPBNLWSHKh2a30DoXe8/edit?usp=sharing"",""สุราษฎร์ธานี!J392"")"),6181)</f>
        <v>6181</v>
      </c>
      <c r="K497" s="450">
        <f t="shared" ca="1" si="117"/>
        <v>100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IFERROR(__xludf.DUMMYFUNCTION("IMPORTRANGE(""https://docs.google.com/spreadsheets/d/1IYY_tgx_IHuhSq3AJ5eI5OnqOPBNLWSHKh2a30DoXe8/edit?usp=sharing"",""สุราษฎร์ธานี!I393"")"),6181)</f>
        <v>6181</v>
      </c>
      <c r="J498" s="426">
        <f ca="1">IFERROR(__xludf.DUMMYFUNCTION("IMPORTRANGE(""https://docs.google.com/spreadsheets/d/1IYY_tgx_IHuhSq3AJ5eI5OnqOPBNLWSHKh2a30DoXe8/edit?usp=sharing"",""สุราษฎร์ธานี!J393"")"),6181)</f>
        <v>6181</v>
      </c>
      <c r="K498" s="208">
        <f t="shared" ca="1" si="117"/>
        <v>100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IFERROR(__xludf.DUMMYFUNCTION("IMPORTRANGE(""https://docs.google.com/spreadsheets/d/1IYY_tgx_IHuhSq3AJ5eI5OnqOPBNLWSHKh2a30DoXe8/edit?usp=sharing"",""สุราษฎร์ธานี!I394"")"),466)</f>
        <v>466</v>
      </c>
      <c r="J499" s="426">
        <f ca="1">IFERROR(__xludf.DUMMYFUNCTION("IMPORTRANGE(""https://docs.google.com/spreadsheets/d/1IYY_tgx_IHuhSq3AJ5eI5OnqOPBNLWSHKh2a30DoXe8/edit?usp=sharing"",""สุราษฎร์ธานี!J394"")"),466)</f>
        <v>466</v>
      </c>
      <c r="K499" s="208">
        <f t="shared" ca="1" si="117"/>
        <v>100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IFERROR(__xludf.DUMMYFUNCTION("IMPORTRANGE(""https://docs.google.com/spreadsheets/d/1IYY_tgx_IHuhSq3AJ5eI5OnqOPBNLWSHKh2a30DoXe8/edit?usp=sharing"",""สุราษฎร์ธานี!I395"")"),0)</f>
        <v>0</v>
      </c>
      <c r="J500" s="166">
        <f ca="1">IFERROR(__xludf.DUMMYFUNCTION("IMPORTRANGE(""https://docs.google.com/spreadsheets/d/1IYY_tgx_IHuhSq3AJ5eI5OnqOPBNLWSHKh2a30DoXe8/edit?usp=sharing"",""สุราษฎร์ธานี!J395"")"),6181)</f>
        <v>6181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IFERROR(__xludf.DUMMYFUNCTION("IMPORTRANGE(""https://docs.google.com/spreadsheets/d/1IYY_tgx_IHuhSq3AJ5eI5OnqOPBNLWSHKh2a30DoXe8/edit?usp=sharing"",""สุราษฎร์ธานี!I396"")"),0)</f>
        <v>0</v>
      </c>
      <c r="J501" s="166">
        <f ca="1">IFERROR(__xludf.DUMMYFUNCTION("IMPORTRANGE(""https://docs.google.com/spreadsheets/d/1IYY_tgx_IHuhSq3AJ5eI5OnqOPBNLWSHKh2a30DoXe8/edit?usp=sharing"",""สุราษฎร์ธานี!J396"")"),466)</f>
        <v>466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IFERROR(__xludf.DUMMYFUNCTION("IMPORTRANGE(""https://docs.google.com/spreadsheets/d/1IYY_tgx_IHuhSq3AJ5eI5OnqOPBNLWSHKh2a30DoXe8/edit?usp=sharing"",""สุราษฎร์ธานี!I397"")"),0)</f>
        <v>0</v>
      </c>
      <c r="J502" s="195">
        <f ca="1">IFERROR(__xludf.DUMMYFUNCTION("IMPORTRANGE(""https://docs.google.com/spreadsheets/d/1IYY_tgx_IHuhSq3AJ5eI5OnqOPBNLWSHKh2a30DoXe8/edit?usp=sharing"",""สุราษฎร์ธานี!J397"")"),1482)</f>
        <v>1482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IFERROR(__xludf.DUMMYFUNCTION("IMPORTRANGE(""https://docs.google.com/spreadsheets/d/1IYY_tgx_IHuhSq3AJ5eI5OnqOPBNLWSHKh2a30DoXe8/edit?usp=sharing"",""สุราษฎร์ธานี!I398"")"),0)</f>
        <v>0</v>
      </c>
      <c r="J503" s="204">
        <f ca="1">IFERROR(__xludf.DUMMYFUNCTION("IMPORTRANGE(""https://docs.google.com/spreadsheets/d/1IYY_tgx_IHuhSq3AJ5eI5OnqOPBNLWSHKh2a30DoXe8/edit?usp=sharing"",""สุราษฎร์ธานี!J398"")"),102)</f>
        <v>102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IFERROR(__xludf.DUMMYFUNCTION("IMPORTRANGE(""https://docs.google.com/spreadsheets/d/1IYY_tgx_IHuhSq3AJ5eI5OnqOPBNLWSHKh2a30DoXe8/edit?usp=sharing"",""สุราษฎร์ธานี!I399"")"),0)</f>
        <v>0</v>
      </c>
      <c r="J504" s="195">
        <f ca="1">IFERROR(__xludf.DUMMYFUNCTION("IMPORTRANGE(""https://docs.google.com/spreadsheets/d/1IYY_tgx_IHuhSq3AJ5eI5OnqOPBNLWSHKh2a30DoXe8/edit?usp=sharing"",""สุราษฎร์ธานี!J399"")"),4699)</f>
        <v>4699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IFERROR(__xludf.DUMMYFUNCTION("IMPORTRANGE(""https://docs.google.com/spreadsheets/d/1IYY_tgx_IHuhSq3AJ5eI5OnqOPBNLWSHKh2a30DoXe8/edit?usp=sharing"",""สุราษฎร์ธานี!I400"")"),0)</f>
        <v>0</v>
      </c>
      <c r="J505" s="204">
        <f ca="1">IFERROR(__xludf.DUMMYFUNCTION("IMPORTRANGE(""https://docs.google.com/spreadsheets/d/1IYY_tgx_IHuhSq3AJ5eI5OnqOPBNLWSHKh2a30DoXe8/edit?usp=sharing"",""สุราษฎร์ธานี!J400"")"),364)</f>
        <v>364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IFERROR(__xludf.DUMMYFUNCTION("IMPORTRANGE(""https://docs.google.com/spreadsheets/d/1IYY_tgx_IHuhSq3AJ5eI5OnqOPBNLWSHKh2a30DoXe8/edit?usp=sharing"",""สุราษฎร์ธานี!I401"")"),0)</f>
        <v>0</v>
      </c>
      <c r="J506" s="195">
        <f ca="1">IFERROR(__xludf.DUMMYFUNCTION("IMPORTRANGE(""https://docs.google.com/spreadsheets/d/1IYY_tgx_IHuhSq3AJ5eI5OnqOPBNLWSHKh2a30DoXe8/edit?usp=sharing"",""สุราษฎร์ธานี!J401"")"),0)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IFERROR(__xludf.DUMMYFUNCTION("IMPORTRANGE(""https://docs.google.com/spreadsheets/d/1IYY_tgx_IHuhSq3AJ5eI5OnqOPBNLWSHKh2a30DoXe8/edit?usp=sharing"",""สุราษฎร์ธานี!I402"")"),0)</f>
        <v>0</v>
      </c>
      <c r="J507" s="204">
        <f ca="1">IFERROR(__xludf.DUMMYFUNCTION("IMPORTRANGE(""https://docs.google.com/spreadsheets/d/1IYY_tgx_IHuhSq3AJ5eI5OnqOPBNLWSHKh2a30DoXe8/edit?usp=sharing"",""สุราษฎร์ธานี!J402"")"),0)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IFERROR(__xludf.DUMMYFUNCTION("IMPORTRANGE(""https://docs.google.com/spreadsheets/d/1IYY_tgx_IHuhSq3AJ5eI5OnqOPBNLWSHKh2a30DoXe8/edit?usp=sharing"",""สุราษฎร์ธานี!I403"")"),0)</f>
        <v>0</v>
      </c>
      <c r="J508" s="166">
        <f ca="1">IFERROR(__xludf.DUMMYFUNCTION("IMPORTRANGE(""https://docs.google.com/spreadsheets/d/1IYY_tgx_IHuhSq3AJ5eI5OnqOPBNLWSHKh2a30DoXe8/edit?usp=sharing"",""สุราษฎร์ธานี!J403"")"),0)</f>
        <v>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IFERROR(__xludf.DUMMYFUNCTION("IMPORTRANGE(""https://docs.google.com/spreadsheets/d/1IYY_tgx_IHuhSq3AJ5eI5OnqOPBNLWSHKh2a30DoXe8/edit?usp=sharing"",""สุราษฎร์ธานี!I404"")"),0)</f>
        <v>0</v>
      </c>
      <c r="J509" s="166">
        <f ca="1">IFERROR(__xludf.DUMMYFUNCTION("IMPORTRANGE(""https://docs.google.com/spreadsheets/d/1IYY_tgx_IHuhSq3AJ5eI5OnqOPBNLWSHKh2a30DoXe8/edit?usp=sharing"",""สุราษฎร์ธานี!J404"")"),0)</f>
        <v>0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IFERROR(__xludf.DUMMYFUNCTION("IMPORTRANGE(""https://docs.google.com/spreadsheets/d/1IYY_tgx_IHuhSq3AJ5eI5OnqOPBNLWSHKh2a30DoXe8/edit?usp=sharing"",""สุราษฎร์ธานี!I405"")"),0)</f>
        <v>0</v>
      </c>
      <c r="J510" s="204">
        <f ca="1">IFERROR(__xludf.DUMMYFUNCTION("IMPORTRANGE(""https://docs.google.com/spreadsheets/d/1IYY_tgx_IHuhSq3AJ5eI5OnqOPBNLWSHKh2a30DoXe8/edit?usp=sharing"",""สุราษฎร์ธานี!J405"")"),0)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IFERROR(__xludf.DUMMYFUNCTION("IMPORTRANGE(""https://docs.google.com/spreadsheets/d/1IYY_tgx_IHuhSq3AJ5eI5OnqOPBNLWSHKh2a30DoXe8/edit?usp=sharing"",""สุราษฎร์ธานี!I406"")"),0)</f>
        <v>0</v>
      </c>
      <c r="J511" s="204">
        <f ca="1">IFERROR(__xludf.DUMMYFUNCTION("IMPORTRANGE(""https://docs.google.com/spreadsheets/d/1IYY_tgx_IHuhSq3AJ5eI5OnqOPBNLWSHKh2a30DoXe8/edit?usp=sharing"",""สุราษฎร์ธานี!J406"")"),0)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IFERROR(__xludf.DUMMYFUNCTION("IMPORTRANGE(""https://docs.google.com/spreadsheets/d/1IYY_tgx_IHuhSq3AJ5eI5OnqOPBNLWSHKh2a30DoXe8/edit?usp=sharing"",""สุราษฎร์ธานี!I407"")"),0)</f>
        <v>0</v>
      </c>
      <c r="J512" s="204">
        <f ca="1">IFERROR(__xludf.DUMMYFUNCTION("IMPORTRANGE(""https://docs.google.com/spreadsheets/d/1IYY_tgx_IHuhSq3AJ5eI5OnqOPBNLWSHKh2a30DoXe8/edit?usp=sharing"",""สุราษฎร์ธานี!J407"")"),0)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IFERROR(__xludf.DUMMYFUNCTION("IMPORTRANGE(""https://docs.google.com/spreadsheets/d/1IYY_tgx_IHuhSq3AJ5eI5OnqOPBNLWSHKh2a30DoXe8/edit?usp=sharing"",""สุราษฎร์ธานี!I408"")"),0)</f>
        <v>0</v>
      </c>
      <c r="J513" s="204">
        <f ca="1">IFERROR(__xludf.DUMMYFUNCTION("IMPORTRANGE(""https://docs.google.com/spreadsheets/d/1IYY_tgx_IHuhSq3AJ5eI5OnqOPBNLWSHKh2a30DoXe8/edit?usp=sharing"",""สุราษฎร์ธานี!J408"")"),0)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IFERROR(__xludf.DUMMYFUNCTION("IMPORTRANGE(""https://docs.google.com/spreadsheets/d/1IYY_tgx_IHuhSq3AJ5eI5OnqOPBNLWSHKh2a30DoXe8/edit?usp=sharing"",""สุราษฎร์ธานี!I409"")"),0)</f>
        <v>0</v>
      </c>
      <c r="J514" s="204">
        <f ca="1">IFERROR(__xludf.DUMMYFUNCTION("IMPORTRANGE(""https://docs.google.com/spreadsheets/d/1IYY_tgx_IHuhSq3AJ5eI5OnqOPBNLWSHKh2a30DoXe8/edit?usp=sharing"",""สุราษฎร์ธานี!J409"")"),0)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IFERROR(__xludf.DUMMYFUNCTION("IMPORTRANGE(""https://docs.google.com/spreadsheets/d/1IYY_tgx_IHuhSq3AJ5eI5OnqOPBNLWSHKh2a30DoXe8/edit?usp=sharing"",""สุราษฎร์ธานี!I410"")"),0)</f>
        <v>0</v>
      </c>
      <c r="J515" s="204">
        <f ca="1">IFERROR(__xludf.DUMMYFUNCTION("IMPORTRANGE(""https://docs.google.com/spreadsheets/d/1IYY_tgx_IHuhSq3AJ5eI5OnqOPBNLWSHKh2a30DoXe8/edit?usp=sharing"",""สุราษฎร์ธานี!J410"")"),0)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IFERROR(__xludf.DUMMYFUNCTION("IMPORTRANGE(""https://docs.google.com/spreadsheets/d/1IYY_tgx_IHuhSq3AJ5eI5OnqOPBNLWSHKh2a30DoXe8/edit?usp=sharing"",""สุราษฎร์ธานี!I411"")"),0)</f>
        <v>0</v>
      </c>
      <c r="J516" s="273">
        <f ca="1">IFERROR(__xludf.DUMMYFUNCTION("IMPORTRANGE(""https://docs.google.com/spreadsheets/d/1IYY_tgx_IHuhSq3AJ5eI5OnqOPBNLWSHKh2a30DoXe8/edit?usp=sharing"",""สุราษฎร์ธานี!J411"")"),0)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IFERROR(__xludf.DUMMYFUNCTION("IMPORTRANGE(""https://docs.google.com/spreadsheets/d/1IYY_tgx_IHuhSq3AJ5eI5OnqOPBNLWSHKh2a30DoXe8/edit?usp=sharing"",""สุราษฎร์ธานี!I412"")"),0)</f>
        <v>0</v>
      </c>
      <c r="J517" s="290">
        <f ca="1">IFERROR(__xludf.DUMMYFUNCTION("IMPORTRANGE(""https://docs.google.com/spreadsheets/d/1IYY_tgx_IHuhSq3AJ5eI5OnqOPBNLWSHKh2a30DoXe8/edit?usp=sharing"",""สุราษฎร์ธานี!J412"")"),0)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IFERROR(__xludf.DUMMYFUNCTION("IMPORTRANGE(""https://docs.google.com/spreadsheets/d/1IYY_tgx_IHuhSq3AJ5eI5OnqOPBNLWSHKh2a30DoXe8/edit?usp=sharing"",""สุราษฎร์ธานี!I413"")"),0)</f>
        <v>0</v>
      </c>
      <c r="J518" s="290">
        <f ca="1">IFERROR(__xludf.DUMMYFUNCTION("IMPORTRANGE(""https://docs.google.com/spreadsheets/d/1IYY_tgx_IHuhSq3AJ5eI5OnqOPBNLWSHKh2a30DoXe8/edit?usp=sharing"",""สุราษฎร์ธานี!J413"")"),0)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IFERROR(__xludf.DUMMYFUNCTION("IMPORTRANGE(""https://docs.google.com/spreadsheets/d/1IYY_tgx_IHuhSq3AJ5eI5OnqOPBNLWSHKh2a30DoXe8/edit?usp=sharing"",""สุราษฎร์ธานี!I414"")"),0)</f>
        <v>0</v>
      </c>
      <c r="J519" s="194">
        <f ca="1">IFERROR(__xludf.DUMMYFUNCTION("IMPORTRANGE(""https://docs.google.com/spreadsheets/d/1IYY_tgx_IHuhSq3AJ5eI5OnqOPBNLWSHKh2a30DoXe8/edit?usp=sharing"",""สุราษฎร์ธานี!J414"")"),0)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IFERROR(__xludf.DUMMYFUNCTION("IMPORTRANGE(""https://docs.google.com/spreadsheets/d/1IYY_tgx_IHuhSq3AJ5eI5OnqOPBNLWSHKh2a30DoXe8/edit?usp=sharing"",""สุราษฎร์ธานี!I415"")"),0)</f>
        <v>0</v>
      </c>
      <c r="J520" s="194">
        <f ca="1">IFERROR(__xludf.DUMMYFUNCTION("IMPORTRANGE(""https://docs.google.com/spreadsheets/d/1IYY_tgx_IHuhSq3AJ5eI5OnqOPBNLWSHKh2a30DoXe8/edit?usp=sharing"",""สุราษฎร์ธานี!J415"")"),0)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IFERROR(__xludf.DUMMYFUNCTION("IMPORTRANGE(""https://docs.google.com/spreadsheets/d/1IYY_tgx_IHuhSq3AJ5eI5OnqOPBNLWSHKh2a30DoXe8/edit?usp=sharing"",""สุราษฎร์ธานี!I416"")"),0)</f>
        <v>0</v>
      </c>
      <c r="J521" s="194">
        <f ca="1">IFERROR(__xludf.DUMMYFUNCTION("IMPORTRANGE(""https://docs.google.com/spreadsheets/d/1IYY_tgx_IHuhSq3AJ5eI5OnqOPBNLWSHKh2a30DoXe8/edit?usp=sharing"",""สุราษฎร์ธานี!J416"")"),0)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IFERROR(__xludf.DUMMYFUNCTION("IMPORTRANGE(""https://docs.google.com/spreadsheets/d/1IYY_tgx_IHuhSq3AJ5eI5OnqOPBNLWSHKh2a30DoXe8/edit?usp=sharing"",""สุราษฎร์ธานี!I417"")"),0)</f>
        <v>0</v>
      </c>
      <c r="J522" s="194">
        <f ca="1">IFERROR(__xludf.DUMMYFUNCTION("IMPORTRANGE(""https://docs.google.com/spreadsheets/d/1IYY_tgx_IHuhSq3AJ5eI5OnqOPBNLWSHKh2a30DoXe8/edit?usp=sharing"",""สุราษฎร์ธานี!J417"")"),0)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IFERROR(__xludf.DUMMYFUNCTION("IMPORTRANGE(""https://docs.google.com/spreadsheets/d/1IYY_tgx_IHuhSq3AJ5eI5OnqOPBNLWSHKh2a30DoXe8/edit?usp=sharing"",""สุราษฎร์ธานี!I418"")"),0)</f>
        <v>0</v>
      </c>
      <c r="J523" s="194">
        <f ca="1">IFERROR(__xludf.DUMMYFUNCTION("IMPORTRANGE(""https://docs.google.com/spreadsheets/d/1IYY_tgx_IHuhSq3AJ5eI5OnqOPBNLWSHKh2a30DoXe8/edit?usp=sharing"",""สุราษฎร์ธานี!J418"")"),3)</f>
        <v>3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IFERROR(__xludf.DUMMYFUNCTION("IMPORTRANGE(""https://docs.google.com/spreadsheets/d/1IYY_tgx_IHuhSq3AJ5eI5OnqOPBNLWSHKh2a30DoXe8/edit?usp=sharing"",""สุราษฎร์ธานี!I419"")"),0)</f>
        <v>0</v>
      </c>
      <c r="J524" s="194">
        <f ca="1">IFERROR(__xludf.DUMMYFUNCTION("IMPORTRANGE(""https://docs.google.com/spreadsheets/d/1IYY_tgx_IHuhSq3AJ5eI5OnqOPBNLWSHKh2a30DoXe8/edit?usp=sharing"",""สุราษฎร์ธานี!J419"")"),2)</f>
        <v>2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IFERROR(__xludf.DUMMYFUNCTION("IMPORTRANGE(""https://docs.google.com/spreadsheets/d/1IYY_tgx_IHuhSq3AJ5eI5OnqOPBNLWSHKh2a30DoXe8/edit?usp=sharing"",""สุราษฎร์ธานี!I420"")"),3)</f>
        <v>3</v>
      </c>
      <c r="J525" s="290">
        <f ca="1">IFERROR(__xludf.DUMMYFUNCTION("IMPORTRANGE(""https://docs.google.com/spreadsheets/d/1IYY_tgx_IHuhSq3AJ5eI5OnqOPBNLWSHKh2a30DoXe8/edit?usp=sharing"",""สุราษฎร์ธานี!J420"")"),3)</f>
        <v>3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IFERROR(__xludf.DUMMYFUNCTION("IMPORTRANGE(""https://docs.google.com/spreadsheets/d/1IYY_tgx_IHuhSq3AJ5eI5OnqOPBNLWSHKh2a30DoXe8/edit?usp=sharing"",""สุราษฎร์ธานี!I421"")"),2)</f>
        <v>2</v>
      </c>
      <c r="J526" s="290">
        <f ca="1">IFERROR(__xludf.DUMMYFUNCTION("IMPORTRANGE(""https://docs.google.com/spreadsheets/d/1IYY_tgx_IHuhSq3AJ5eI5OnqOPBNLWSHKh2a30DoXe8/edit?usp=sharing"",""สุราษฎร์ธานี!J421"")"),2)</f>
        <v>2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IFERROR(__xludf.DUMMYFUNCTION("IMPORTRANGE(""https://docs.google.com/spreadsheets/d/1IYY_tgx_IHuhSq3AJ5eI5OnqOPBNLWSHKh2a30DoXe8/edit?usp=sharing"",""สุราษฎร์ธานี!I422"")"),0)</f>
        <v>0</v>
      </c>
      <c r="J527" s="204">
        <f ca="1">IFERROR(__xludf.DUMMYFUNCTION("IMPORTRANGE(""https://docs.google.com/spreadsheets/d/1IYY_tgx_IHuhSq3AJ5eI5OnqOPBNLWSHKh2a30DoXe8/edit?usp=sharing"",""สุราษฎร์ธานี!J422"")"),1)</f>
        <v>1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IFERROR(__xludf.DUMMYFUNCTION("IMPORTRANGE(""https://docs.google.com/spreadsheets/d/1IYY_tgx_IHuhSq3AJ5eI5OnqOPBNLWSHKh2a30DoXe8/edit?usp=sharing"",""สุราษฎร์ธานี!I423"")"),0)</f>
        <v>0</v>
      </c>
      <c r="J528" s="204">
        <f ca="1">IFERROR(__xludf.DUMMYFUNCTION("IMPORTRANGE(""https://docs.google.com/spreadsheets/d/1IYY_tgx_IHuhSq3AJ5eI5OnqOPBNLWSHKh2a30DoXe8/edit?usp=sharing"",""สุราษฎร์ธานี!J423"")"),1)</f>
        <v>1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IFERROR(__xludf.DUMMYFUNCTION("IMPORTRANGE(""https://docs.google.com/spreadsheets/d/1IYY_tgx_IHuhSq3AJ5eI5OnqOPBNLWSHKh2a30DoXe8/edit?usp=sharing"",""สุราษฎร์ธานี!I424"")"),0)</f>
        <v>0</v>
      </c>
      <c r="J529" s="204">
        <f ca="1">IFERROR(__xludf.DUMMYFUNCTION("IMPORTRANGE(""https://docs.google.com/spreadsheets/d/1IYY_tgx_IHuhSq3AJ5eI5OnqOPBNLWSHKh2a30DoXe8/edit?usp=sharing"",""สุราษฎร์ธานี!J424"")"),2)</f>
        <v>2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IFERROR(__xludf.DUMMYFUNCTION("IMPORTRANGE(""https://docs.google.com/spreadsheets/d/1IYY_tgx_IHuhSq3AJ5eI5OnqOPBNLWSHKh2a30DoXe8/edit?usp=sharing"",""สุราษฎร์ธานี!I425"")"),0)</f>
        <v>0</v>
      </c>
      <c r="J530" s="204">
        <f ca="1">IFERROR(__xludf.DUMMYFUNCTION("IMPORTRANGE(""https://docs.google.com/spreadsheets/d/1IYY_tgx_IHuhSq3AJ5eI5OnqOPBNLWSHKh2a30DoXe8/edit?usp=sharing"",""สุราษฎร์ธานี!J425"")"),1)</f>
        <v>1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IFERROR(__xludf.DUMMYFUNCTION("IMPORTRANGE(""https://docs.google.com/spreadsheets/d/1IYY_tgx_IHuhSq3AJ5eI5OnqOPBNLWSHKh2a30DoXe8/edit?usp=sharing"",""สุราษฎร์ธานี!I426"")"),0)</f>
        <v>0</v>
      </c>
      <c r="J531" s="204">
        <f ca="1">IFERROR(__xludf.DUMMYFUNCTION("IMPORTRANGE(""https://docs.google.com/spreadsheets/d/1IYY_tgx_IHuhSq3AJ5eI5OnqOPBNLWSHKh2a30DoXe8/edit?usp=sharing"",""สุราษฎร์ธานี!J426"")"),0)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IFERROR(__xludf.DUMMYFUNCTION("IMPORTRANGE(""https://docs.google.com/spreadsheets/d/1IYY_tgx_IHuhSq3AJ5eI5OnqOPBNLWSHKh2a30DoXe8/edit?usp=sharing"",""สุราษฎร์ธานี!I427"")"),0)</f>
        <v>0</v>
      </c>
      <c r="J532" s="472">
        <f ca="1">IFERROR(__xludf.DUMMYFUNCTION("IMPORTRANGE(""https://docs.google.com/spreadsheets/d/1IYY_tgx_IHuhSq3AJ5eI5OnqOPBNLWSHKh2a30DoXe8/edit?usp=sharing"",""สุราษฎร์ธานี!J427"")"),0)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IFERROR(__xludf.DUMMYFUNCTION("IMPORTRANGE(""https://docs.google.com/spreadsheets/d/1IYY_tgx_IHuhSq3AJ5eI5OnqOPBNLWSHKh2a30DoXe8/edit?usp=sharing"",""สุราษฎร์ธานี!I428"")"),24)</f>
        <v>24</v>
      </c>
      <c r="J533" s="416">
        <f ca="1">IFERROR(__xludf.DUMMYFUNCTION("IMPORTRANGE(""https://docs.google.com/spreadsheets/d/1IYY_tgx_IHuhSq3AJ5eI5OnqOPBNLWSHKh2a30DoXe8/edit?usp=sharing"",""สุราษฎร์ธานี!J428"")"),24)</f>
        <v>24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IFERROR(__xludf.DUMMYFUNCTION("IMPORTRANGE(""https://docs.google.com/spreadsheets/d/1IYY_tgx_IHuhSq3AJ5eI5OnqOPBNLWSHKh2a30DoXe8/edit?usp=sharing"",""สุราษฎร์ธานี!L428"")"),36040)</f>
        <v>36040</v>
      </c>
      <c r="M533" s="418"/>
      <c r="N533" s="418">
        <f ca="1">IFERROR(__xludf.DUMMYFUNCTION("IMPORTRANGE(""https://docs.google.com/spreadsheets/d/1IYY_tgx_IHuhSq3AJ5eI5OnqOPBNLWSHKh2a30DoXe8/edit?usp=sharing"",""สุราษฎร์ธานี!M428"")"),29506)</f>
        <v>29506</v>
      </c>
      <c r="O533" s="418">
        <f t="shared" ref="O533:O537" ca="1" si="118">+IF(L533&gt;0,N533*100/L533,0)</f>
        <v>81.870144284128742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IFERROR(__xludf.DUMMYFUNCTION("IMPORTRANGE(""https://docs.google.com/spreadsheets/d/1IYY_tgx_IHuhSq3AJ5eI5OnqOPBNLWSHKh2a30DoXe8/edit?usp=sharing"",""สุราษฎร์ธานี!L429"")"),0)</f>
        <v>0</v>
      </c>
      <c r="M534" s="168"/>
      <c r="N534" s="175">
        <f ca="1">IFERROR(__xludf.DUMMYFUNCTION("IMPORTRANGE(""https://docs.google.com/spreadsheets/d/1IYY_tgx_IHuhSq3AJ5eI5OnqOPBNLWSHKh2a30DoXe8/edit?usp=sharing"",""สุราษฎร์ธานี!M429"")"),0)</f>
        <v>0</v>
      </c>
      <c r="O534" s="175">
        <f t="shared" ca="1" si="118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IFERROR(__xludf.DUMMYFUNCTION("IMPORTRANGE(""https://docs.google.com/spreadsheets/d/1IYY_tgx_IHuhSq3AJ5eI5OnqOPBNLWSHKh2a30DoXe8/edit?usp=sharing"",""สุราษฎร์ธานี!L430"")"),36040)</f>
        <v>36040</v>
      </c>
      <c r="M535" s="169"/>
      <c r="N535" s="175">
        <f ca="1">IFERROR(__xludf.DUMMYFUNCTION("IMPORTRANGE(""https://docs.google.com/spreadsheets/d/1IYY_tgx_IHuhSq3AJ5eI5OnqOPBNLWSHKh2a30DoXe8/edit?usp=sharing"",""สุราษฎร์ธานี!M430"")"),29506)</f>
        <v>29506</v>
      </c>
      <c r="O535" s="175">
        <f t="shared" ca="1" si="118"/>
        <v>81.870144284128742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IFERROR(__xludf.DUMMYFUNCTION("IMPORTRANGE(""https://docs.google.com/spreadsheets/d/1IYY_tgx_IHuhSq3AJ5eI5OnqOPBNLWSHKh2a30DoXe8/edit?usp=sharing"",""สุราษฎร์ธานี!L431"")"),0)</f>
        <v>0</v>
      </c>
      <c r="M536" s="175"/>
      <c r="N536" s="175">
        <f ca="1">IFERROR(__xludf.DUMMYFUNCTION("IMPORTRANGE(""https://docs.google.com/spreadsheets/d/1IYY_tgx_IHuhSq3AJ5eI5OnqOPBNLWSHKh2a30DoXe8/edit?usp=sharing"",""สุราษฎร์ธานี!M431"")"),0)</f>
        <v>0</v>
      </c>
      <c r="O536" s="175">
        <f t="shared" ca="1" si="118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IFERROR(__xludf.DUMMYFUNCTION("IMPORTRANGE(""https://docs.google.com/spreadsheets/d/1IYY_tgx_IHuhSq3AJ5eI5OnqOPBNLWSHKh2a30DoXe8/edit?usp=sharing"",""สุราษฎร์ธานี!L432"")"),36040)</f>
        <v>36040</v>
      </c>
      <c r="M537" s="175"/>
      <c r="N537" s="175">
        <f ca="1">IFERROR(__xludf.DUMMYFUNCTION("IMPORTRANGE(""https://docs.google.com/spreadsheets/d/1IYY_tgx_IHuhSq3AJ5eI5OnqOPBNLWSHKh2a30DoXe8/edit?usp=sharing"",""สุราษฎร์ธานี!M432"")"),29506)</f>
        <v>29506</v>
      </c>
      <c r="O537" s="175">
        <f t="shared" ca="1" si="118"/>
        <v>81.870144284128742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IFERROR(__xludf.DUMMYFUNCTION("IMPORTRANGE(""https://docs.google.com/spreadsheets/d/1IYY_tgx_IHuhSq3AJ5eI5OnqOPBNLWSHKh2a30DoXe8/edit?usp=sharing"",""สุราษฎร์ธานี!M433"")"),17179)</f>
        <v>17179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IFERROR(__xludf.DUMMYFUNCTION("IMPORTRANGE(""https://docs.google.com/spreadsheets/d/1IYY_tgx_IHuhSq3AJ5eI5OnqOPBNLWSHKh2a30DoXe8/edit?usp=sharing"",""สุราษฎร์ธานี!M434"")"),0)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IFERROR(__xludf.DUMMYFUNCTION("IMPORTRANGE(""https://docs.google.com/spreadsheets/d/1IYY_tgx_IHuhSq3AJ5eI5OnqOPBNLWSHKh2a30DoXe8/edit?usp=sharing"",""สุราษฎร์ธานี!M435"")"),0)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IFERROR(__xludf.DUMMYFUNCTION("IMPORTRANGE(""https://docs.google.com/spreadsheets/d/1IYY_tgx_IHuhSq3AJ5eI5OnqOPBNLWSHKh2a30DoXe8/edit?usp=sharing"",""สุราษฎร์ธานี!M436"")"),12327)</f>
        <v>12327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IFERROR(__xludf.DUMMYFUNCTION("IMPORTRANGE(""https://docs.google.com/spreadsheets/d/1IYY_tgx_IHuhSq3AJ5eI5OnqOPBNLWSHKh2a30DoXe8/edit?usp=sharing"",""สุราษฎร์ธานี!J438"")"),0)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IFERROR(__xludf.DUMMYFUNCTION("IMPORTRANGE(""https://docs.google.com/spreadsheets/d/1IYY_tgx_IHuhSq3AJ5eI5OnqOPBNLWSHKh2a30DoXe8/edit?usp=sharing"",""สุราษฎร์ธานี!J439"")"),1)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IFERROR(__xludf.DUMMYFUNCTION("IMPORTRANGE(""https://docs.google.com/spreadsheets/d/1IYY_tgx_IHuhSq3AJ5eI5OnqOPBNLWSHKh2a30DoXe8/edit?usp=sharing"",""สุราษฎร์ธานี!J440"")"),1)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IFERROR(__xludf.DUMMYFUNCTION("IMPORTRANGE(""https://docs.google.com/spreadsheets/d/1IYY_tgx_IHuhSq3AJ5eI5OnqOPBNLWSHKh2a30DoXe8/edit?usp=sharing"",""สุราษฎร์ธานี!J441"")"),1)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IFERROR(__xludf.DUMMYFUNCTION("IMPORTRANGE(""https://docs.google.com/spreadsheets/d/1IYY_tgx_IHuhSq3AJ5eI5OnqOPBNLWSHKh2a30DoXe8/edit?usp=sharing"",""สุราษฎร์ธานี!I442"")"),24)</f>
        <v>24</v>
      </c>
      <c r="J547" s="195">
        <f ca="1">IFERROR(__xludf.DUMMYFUNCTION("IMPORTRANGE(""https://docs.google.com/spreadsheets/d/1IYY_tgx_IHuhSq3AJ5eI5OnqOPBNLWSHKh2a30DoXe8/edit?usp=sharing"",""สุราษฎร์ธานี!J442"")"),24)</f>
        <v>24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IFERROR(__xludf.DUMMYFUNCTION("IMPORTRANGE(""https://docs.google.com/spreadsheets/d/1IYY_tgx_IHuhSq3AJ5eI5OnqOPBNLWSHKh2a30DoXe8/edit?usp=sharing"",""สุราษฎร์ธานี!J166"")"),0)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IFERROR(__xludf.DUMMYFUNCTION("IMPORTRANGE(""https://docs.google.com/spreadsheets/d/1IYY_tgx_IHuhSq3AJ5eI5OnqOPBNLWSHKh2a30DoXe8/edit?usp=sharing"",""สุราษฎร์ธานี!J444"")"),0)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IFERROR(__xludf.DUMMYFUNCTION("IMPORTRANGE(""https://docs.google.com/spreadsheets/d/1IYY_tgx_IHuhSq3AJ5eI5OnqOPBNLWSHKh2a30DoXe8/edit?usp=sharing"",""สุราษฎร์ธานี!J445"")"),0)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IFERROR(__xludf.DUMMYFUNCTION("IMPORTRANGE(""https://docs.google.com/spreadsheets/d/1IYY_tgx_IHuhSq3AJ5eI5OnqOPBNLWSHKh2a30DoXe8/edit?usp=sharing"",""สุราษฎร์ธานี!I446"")"),0)</f>
        <v>0</v>
      </c>
      <c r="J551" s="416">
        <f ca="1">IFERROR(__xludf.DUMMYFUNCTION("IMPORTRANGE(""https://docs.google.com/spreadsheets/d/1IYY_tgx_IHuhSq3AJ5eI5OnqOPBNLWSHKh2a30DoXe8/edit?usp=sharing"",""สุราษฎร์ธานี!J446"")"),0)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IFERROR(__xludf.DUMMYFUNCTION("IMPORTRANGE(""https://docs.google.com/spreadsheets/d/1IYY_tgx_IHuhSq3AJ5eI5OnqOPBNLWSHKh2a30DoXe8/edit?usp=sharing"",""สุราษฎร์ธานี!L446"")"),0)</f>
        <v>0</v>
      </c>
      <c r="M551" s="418"/>
      <c r="N551" s="418">
        <f ca="1">IFERROR(__xludf.DUMMYFUNCTION("IMPORTRANGE(""https://docs.google.com/spreadsheets/d/1IYY_tgx_IHuhSq3AJ5eI5OnqOPBNLWSHKh2a30DoXe8/edit?usp=sharing"",""สุราษฎร์ธานี!M446"")"),0)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IFERROR(__xludf.DUMMYFUNCTION("IMPORTRANGE(""https://docs.google.com/spreadsheets/d/1IYY_tgx_IHuhSq3AJ5eI5OnqOPBNLWSHKh2a30DoXe8/edit?usp=sharing"",""สุราษฎร์ธานี!L447"")"),0)</f>
        <v>0</v>
      </c>
      <c r="M552" s="168"/>
      <c r="N552" s="175">
        <f ca="1">IFERROR(__xludf.DUMMYFUNCTION("IMPORTRANGE(""https://docs.google.com/spreadsheets/d/1IYY_tgx_IHuhSq3AJ5eI5OnqOPBNLWSHKh2a30DoXe8/edit?usp=sharing"",""สุราษฎร์ธานี!M447"")"),0)</f>
        <v>0</v>
      </c>
      <c r="O552" s="175">
        <f t="shared" ca="1" si="120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IFERROR(__xludf.DUMMYFUNCTION("IMPORTRANGE(""https://docs.google.com/spreadsheets/d/1IYY_tgx_IHuhSq3AJ5eI5OnqOPBNLWSHKh2a30DoXe8/edit?usp=sharing"",""สุราษฎร์ธานี!L448"")"),0)</f>
        <v>0</v>
      </c>
      <c r="M553" s="169"/>
      <c r="N553" s="175">
        <f ca="1">IFERROR(__xludf.DUMMYFUNCTION("IMPORTRANGE(""https://docs.google.com/spreadsheets/d/1IYY_tgx_IHuhSq3AJ5eI5OnqOPBNLWSHKh2a30DoXe8/edit?usp=sharing"",""สุราษฎร์ธานี!M448"")"),0)</f>
        <v>0</v>
      </c>
      <c r="O553" s="175">
        <f t="shared" ca="1" si="120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IFERROR(__xludf.DUMMYFUNCTION("IMPORTRANGE(""https://docs.google.com/spreadsheets/d/1IYY_tgx_IHuhSq3AJ5eI5OnqOPBNLWSHKh2a30DoXe8/edit?usp=sharing"",""สุราษฎร์ธานี!L449"")"),0)</f>
        <v>0</v>
      </c>
      <c r="M554" s="175"/>
      <c r="N554" s="175">
        <f ca="1">IFERROR(__xludf.DUMMYFUNCTION("IMPORTRANGE(""https://docs.google.com/spreadsheets/d/1IYY_tgx_IHuhSq3AJ5eI5OnqOPBNLWSHKh2a30DoXe8/edit?usp=sharing"",""สุราษฎร์ธานี!M449"")"),0)</f>
        <v>0</v>
      </c>
      <c r="O554" s="175">
        <f t="shared" ca="1" si="120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IFERROR(__xludf.DUMMYFUNCTION("IMPORTRANGE(""https://docs.google.com/spreadsheets/d/1IYY_tgx_IHuhSq3AJ5eI5OnqOPBNLWSHKh2a30DoXe8/edit?usp=sharing"",""สุราษฎร์ธานี!L450"")"),0)</f>
        <v>0</v>
      </c>
      <c r="M555" s="175"/>
      <c r="N555" s="175">
        <f ca="1">IFERROR(__xludf.DUMMYFUNCTION("IMPORTRANGE(""https://docs.google.com/spreadsheets/d/1IYY_tgx_IHuhSq3AJ5eI5OnqOPBNLWSHKh2a30DoXe8/edit?usp=sharing"",""สุราษฎร์ธานี!M450"")"),0)</f>
        <v>0</v>
      </c>
      <c r="O555" s="175">
        <f t="shared" ca="1" si="120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IFERROR(__xludf.DUMMYFUNCTION("IMPORTRANGE(""https://docs.google.com/spreadsheets/d/1IYY_tgx_IHuhSq3AJ5eI5OnqOPBNLWSHKh2a30DoXe8/edit?usp=sharing"",""สุราษฎร์ธานี!M451"")"),0)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IFERROR(__xludf.DUMMYFUNCTION("IMPORTRANGE(""https://docs.google.com/spreadsheets/d/1IYY_tgx_IHuhSq3AJ5eI5OnqOPBNLWSHKh2a30DoXe8/edit?usp=sharing"",""สุราษฎร์ธานี!M452"")"),0)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IFERROR(__xludf.DUMMYFUNCTION("IMPORTRANGE(""https://docs.google.com/spreadsheets/d/1IYY_tgx_IHuhSq3AJ5eI5OnqOPBNLWSHKh2a30DoXe8/edit?usp=sharing"",""สุราษฎร์ธานี!M453"")"),0)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IFERROR(__xludf.DUMMYFUNCTION("IMPORTRANGE(""https://docs.google.com/spreadsheets/d/1IYY_tgx_IHuhSq3AJ5eI5OnqOPBNLWSHKh2a30DoXe8/edit?usp=sharing"",""สุราษฎร์ธานี!M454"")"),0)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IFERROR(__xludf.DUMMYFUNCTION("IMPORTRANGE(""https://docs.google.com/spreadsheets/d/1IYY_tgx_IHuhSq3AJ5eI5OnqOPBNLWSHKh2a30DoXe8/edit?usp=sharing"",""สุราษฎร์ธานี!I455"")"),0)</f>
        <v>0</v>
      </c>
      <c r="J560" s="166">
        <f ca="1">IFERROR(__xludf.DUMMYFUNCTION("IMPORTRANGE(""https://docs.google.com/spreadsheets/d/1IYY_tgx_IHuhSq3AJ5eI5OnqOPBNLWSHKh2a30DoXe8/edit?usp=sharing"",""สุราษฎร์ธานี!J455"")"),0)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IFERROR(__xludf.DUMMYFUNCTION("IMPORTRANGE(""https://docs.google.com/spreadsheets/d/1IYY_tgx_IHuhSq3AJ5eI5OnqOPBNLWSHKh2a30DoXe8/edit?usp=sharing"",""สุราษฎร์ธานี!I456"")"),0)</f>
        <v>0</v>
      </c>
      <c r="J561" s="210">
        <f ca="1">IFERROR(__xludf.DUMMYFUNCTION("IMPORTRANGE(""https://docs.google.com/spreadsheets/d/1IYY_tgx_IHuhSq3AJ5eI5OnqOPBNLWSHKh2a30DoXe8/edit?usp=sharing"",""สุราษฎร์ธานี!J456"")"),0)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IFERROR(__xludf.DUMMYFUNCTION("IMPORTRANGE(""https://docs.google.com/spreadsheets/d/1IYY_tgx_IHuhSq3AJ5eI5OnqOPBNLWSHKh2a30DoXe8/edit?usp=sharing"",""สุราษฎร์ธานี!I459"")"),3100)</f>
        <v>3100</v>
      </c>
      <c r="J564" s="377">
        <f ca="1">IFERROR(__xludf.DUMMYFUNCTION("IMPORTRANGE(""https://docs.google.com/spreadsheets/d/1IYY_tgx_IHuhSq3AJ5eI5OnqOPBNLWSHKh2a30DoXe8/edit?usp=sharing"",""สุราษฎร์ธานี!J459"")"),9843)</f>
        <v>9843</v>
      </c>
      <c r="K564" s="378">
        <f ca="1">IF(I564&gt;0,J564*100/I564,0)</f>
        <v>317.51612903225805</v>
      </c>
      <c r="L564" s="379">
        <f ca="1">IFERROR(__xludf.DUMMYFUNCTION("IMPORTRANGE(""https://docs.google.com/spreadsheets/d/1IYY_tgx_IHuhSq3AJ5eI5OnqOPBNLWSHKh2a30DoXe8/edit?usp=sharing"",""สุราษฎร์ธานี!L459"")"),167200)</f>
        <v>167200</v>
      </c>
      <c r="M564" s="379"/>
      <c r="N564" s="379">
        <f ca="1">IFERROR(__xludf.DUMMYFUNCTION("IMPORTRANGE(""https://docs.google.com/spreadsheets/d/1IYY_tgx_IHuhSq3AJ5eI5OnqOPBNLWSHKh2a30DoXe8/edit?usp=sharing"",""สุราษฎร์ธานี!M459"")"),106576.629999999)</f>
        <v>106576.629999999</v>
      </c>
      <c r="O564" s="379">
        <f t="shared" ref="O564:O568" ca="1" si="122">+IF(L564&gt;0,N564*100/L564,0)</f>
        <v>63.742003588516148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IFERROR(__xludf.DUMMYFUNCTION("IMPORTRANGE(""https://docs.google.com/spreadsheets/d/1IYY_tgx_IHuhSq3AJ5eI5OnqOPBNLWSHKh2a30DoXe8/edit?usp=sharing"",""สุราษฎร์ธานี!L460"")"),0)</f>
        <v>0</v>
      </c>
      <c r="M565" s="168"/>
      <c r="N565" s="175">
        <f ca="1">IFERROR(__xludf.DUMMYFUNCTION("IMPORTRANGE(""https://docs.google.com/spreadsheets/d/1IYY_tgx_IHuhSq3AJ5eI5OnqOPBNLWSHKh2a30DoXe8/edit?usp=sharing"",""สุราษฎร์ธานี!M460"")"),0)</f>
        <v>0</v>
      </c>
      <c r="O565" s="175">
        <f t="shared" ca="1" si="122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IFERROR(__xludf.DUMMYFUNCTION("IMPORTRANGE(""https://docs.google.com/spreadsheets/d/1IYY_tgx_IHuhSq3AJ5eI5OnqOPBNLWSHKh2a30DoXe8/edit?usp=sharing"",""สุราษฎร์ธานี!L461"")"),167200)</f>
        <v>167200</v>
      </c>
      <c r="M566" s="169"/>
      <c r="N566" s="175">
        <f ca="1">IFERROR(__xludf.DUMMYFUNCTION("IMPORTRANGE(""https://docs.google.com/spreadsheets/d/1IYY_tgx_IHuhSq3AJ5eI5OnqOPBNLWSHKh2a30DoXe8/edit?usp=sharing"",""สุราษฎร์ธานี!M461"")"),106576.629999999)</f>
        <v>106576.629999999</v>
      </c>
      <c r="O566" s="175">
        <f t="shared" ca="1" si="122"/>
        <v>63.742003588516148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IFERROR(__xludf.DUMMYFUNCTION("IMPORTRANGE(""https://docs.google.com/spreadsheets/d/1IYY_tgx_IHuhSq3AJ5eI5OnqOPBNLWSHKh2a30DoXe8/edit?usp=sharing"",""สุราษฎร์ธานี!L462"")"),0)</f>
        <v>0</v>
      </c>
      <c r="M567" s="175"/>
      <c r="N567" s="175">
        <f ca="1">IFERROR(__xludf.DUMMYFUNCTION("IMPORTRANGE(""https://docs.google.com/spreadsheets/d/1IYY_tgx_IHuhSq3AJ5eI5OnqOPBNLWSHKh2a30DoXe8/edit?usp=sharing"",""สุราษฎร์ธานี!M462"")"),0)</f>
        <v>0</v>
      </c>
      <c r="O567" s="175">
        <f t="shared" ca="1" si="122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IFERROR(__xludf.DUMMYFUNCTION("IMPORTRANGE(""https://docs.google.com/spreadsheets/d/1IYY_tgx_IHuhSq3AJ5eI5OnqOPBNLWSHKh2a30DoXe8/edit?usp=sharing"",""สุราษฎร์ธานี!L463"")"),167200)</f>
        <v>167200</v>
      </c>
      <c r="M568" s="175"/>
      <c r="N568" s="175">
        <f ca="1">IFERROR(__xludf.DUMMYFUNCTION("IMPORTRANGE(""https://docs.google.com/spreadsheets/d/1IYY_tgx_IHuhSq3AJ5eI5OnqOPBNLWSHKh2a30DoXe8/edit?usp=sharing"",""สุราษฎร์ธานี!M463"")"),106576.629999999)</f>
        <v>106576.629999999</v>
      </c>
      <c r="O568" s="175">
        <f t="shared" ca="1" si="122"/>
        <v>63.742003588516148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IFERROR(__xludf.DUMMYFUNCTION("IMPORTRANGE(""https://docs.google.com/spreadsheets/d/1IYY_tgx_IHuhSq3AJ5eI5OnqOPBNLWSHKh2a30DoXe8/edit?usp=sharing"",""สุราษฎร์ธานี!M464"")"),0)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IFERROR(__xludf.DUMMYFUNCTION("IMPORTRANGE(""https://docs.google.com/spreadsheets/d/1IYY_tgx_IHuhSq3AJ5eI5OnqOPBNLWSHKh2a30DoXe8/edit?usp=sharing"",""สุราษฎร์ธานี!M465"")"),0)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IFERROR(__xludf.DUMMYFUNCTION("IMPORTRANGE(""https://docs.google.com/spreadsheets/d/1IYY_tgx_IHuhSq3AJ5eI5OnqOPBNLWSHKh2a30DoXe8/edit?usp=sharing"",""สุราษฎร์ธานี!M466"")"),94966.6299999999)</f>
        <v>94966.629999999903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IFERROR(__xludf.DUMMYFUNCTION("IMPORTRANGE(""https://docs.google.com/spreadsheets/d/1IYY_tgx_IHuhSq3AJ5eI5OnqOPBNLWSHKh2a30DoXe8/edit?usp=sharing"",""สุราษฎร์ธานี!M467"")"),11610)</f>
        <v>11610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IFERROR(__xludf.DUMMYFUNCTION("IMPORTRANGE(""https://docs.google.com/spreadsheets/d/1IYY_tgx_IHuhSq3AJ5eI5OnqOPBNLWSHKh2a30DoXe8/edit?usp=sharing"",""สุราษฎร์ธานี!I468"")"),3100)</f>
        <v>3100</v>
      </c>
      <c r="J573" s="426">
        <f ca="1">IFERROR(__xludf.DUMMYFUNCTION("IMPORTRANGE(""https://docs.google.com/spreadsheets/d/1IYY_tgx_IHuhSq3AJ5eI5OnqOPBNLWSHKh2a30DoXe8/edit?usp=sharing"",""สุราษฎร์ธานี!J468"")"),9843)</f>
        <v>9843</v>
      </c>
      <c r="K573" s="208">
        <f ca="1">IF(I573&gt;0,J573*100/I573,0)</f>
        <v>317.51612903225805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IFERROR(__xludf.DUMMYFUNCTION("IMPORTRANGE(""https://docs.google.com/spreadsheets/d/1IYY_tgx_IHuhSq3AJ5eI5OnqOPBNLWSHKh2a30DoXe8/edit?usp=sharing"",""สุราษฎร์ธานี!I470"")"),0)</f>
        <v>0</v>
      </c>
      <c r="J575" s="204">
        <f ca="1">IFERROR(__xludf.DUMMYFUNCTION("IMPORTRANGE(""https://docs.google.com/spreadsheets/d/1IYY_tgx_IHuhSq3AJ5eI5OnqOPBNLWSHKh2a30DoXe8/edit?usp=sharing"",""สุราษฎร์ธานี!J470"")"),10)</f>
        <v>10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IFERROR(__xludf.DUMMYFUNCTION("IMPORTRANGE(""https://docs.google.com/spreadsheets/d/1IYY_tgx_IHuhSq3AJ5eI5OnqOPBNLWSHKh2a30DoXe8/edit?usp=sharing"",""สุราษฎร์ธานี!I471"")"),0)</f>
        <v>0</v>
      </c>
      <c r="J576" s="204">
        <f ca="1">IFERROR(__xludf.DUMMYFUNCTION("IMPORTRANGE(""https://docs.google.com/spreadsheets/d/1IYY_tgx_IHuhSq3AJ5eI5OnqOPBNLWSHKh2a30DoXe8/edit?usp=sharing"",""สุราษฎร์ธานี!J471"")"),308)</f>
        <v>308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IFERROR(__xludf.DUMMYFUNCTION("IMPORTRANGE(""https://docs.google.com/spreadsheets/d/1IYY_tgx_IHuhSq3AJ5eI5OnqOPBNLWSHKh2a30DoXe8/edit?usp=sharing"",""สุราษฎร์ธานี!I472"")"),0)</f>
        <v>0</v>
      </c>
      <c r="J577" s="195">
        <f ca="1">IFERROR(__xludf.DUMMYFUNCTION("IMPORTRANGE(""https://docs.google.com/spreadsheets/d/1IYY_tgx_IHuhSq3AJ5eI5OnqOPBNLWSHKh2a30DoXe8/edit?usp=sharing"",""สุราษฎร์ธานี!J472"")"),9529)</f>
        <v>9529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IFERROR(__xludf.DUMMYFUNCTION("IMPORTRANGE(""https://docs.google.com/spreadsheets/d/1IYY_tgx_IHuhSq3AJ5eI5OnqOPBNLWSHKh2a30DoXe8/edit?usp=sharing"",""สุราษฎร์ธานี!I473"")"),0)</f>
        <v>0</v>
      </c>
      <c r="J578" s="204">
        <f ca="1">IFERROR(__xludf.DUMMYFUNCTION("IMPORTRANGE(""https://docs.google.com/spreadsheets/d/1IYY_tgx_IHuhSq3AJ5eI5OnqOPBNLWSHKh2a30DoXe8/edit?usp=sharing"",""สุราษฎร์ธานี!J473"")"),0)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IFERROR(__xludf.DUMMYFUNCTION("IMPORTRANGE(""https://docs.google.com/spreadsheets/d/1IYY_tgx_IHuhSq3AJ5eI5OnqOPBNLWSHKh2a30DoXe8/edit?usp=sharing"",""สุราษฎร์ธานี!I474"")"),0)</f>
        <v>0</v>
      </c>
      <c r="J579" s="204">
        <f ca="1">IFERROR(__xludf.DUMMYFUNCTION("IMPORTRANGE(""https://docs.google.com/spreadsheets/d/1IYY_tgx_IHuhSq3AJ5eI5OnqOPBNLWSHKh2a30DoXe8/edit?usp=sharing"",""สุราษฎร์ธานี!J474"")"),6)</f>
        <v>6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IFERROR(__xludf.DUMMYFUNCTION("IMPORTRANGE(""https://docs.google.com/spreadsheets/d/1IYY_tgx_IHuhSq3AJ5eI5OnqOPBNLWSHKh2a30DoXe8/edit?usp=sharing"",""สุราษฎร์ธานี!I475"")"),0)</f>
        <v>0</v>
      </c>
      <c r="J580" s="377">
        <f ca="1">IFERROR(__xludf.DUMMYFUNCTION("IMPORTRANGE(""https://docs.google.com/spreadsheets/d/1IYY_tgx_IHuhSq3AJ5eI5OnqOPBNLWSHKh2a30DoXe8/edit?usp=sharing"",""สุราษฎร์ธานี!J475"")"),0)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IFERROR(__xludf.DUMMYFUNCTION("IMPORTRANGE(""https://docs.google.com/spreadsheets/d/1IYY_tgx_IHuhSq3AJ5eI5OnqOPBNLWSHKh2a30DoXe8/edit?usp=sharing"",""สุราษฎร์ธานี!L475"")"),0)</f>
        <v>0</v>
      </c>
      <c r="M580" s="379"/>
      <c r="N580" s="379">
        <f ca="1">IFERROR(__xludf.DUMMYFUNCTION("IMPORTRANGE(""https://docs.google.com/spreadsheets/d/1IYY_tgx_IHuhSq3AJ5eI5OnqOPBNLWSHKh2a30DoXe8/edit?usp=sharing"",""สุราษฎร์ธานี!M475"")"),0)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IFERROR(__xludf.DUMMYFUNCTION("IMPORTRANGE(""https://docs.google.com/spreadsheets/d/1IYY_tgx_IHuhSq3AJ5eI5OnqOPBNLWSHKh2a30DoXe8/edit?usp=sharing"",""สุราษฎร์ธานี!L476"")"),0)</f>
        <v>0</v>
      </c>
      <c r="M581" s="168"/>
      <c r="N581" s="175">
        <f ca="1">IFERROR(__xludf.DUMMYFUNCTION("IMPORTRANGE(""https://docs.google.com/spreadsheets/d/1IYY_tgx_IHuhSq3AJ5eI5OnqOPBNLWSHKh2a30DoXe8/edit?usp=sharing"",""สุราษฎร์ธานี!M476"")"),0)</f>
        <v>0</v>
      </c>
      <c r="O581" s="175">
        <f t="shared" ca="1" si="124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IFERROR(__xludf.DUMMYFUNCTION("IMPORTRANGE(""https://docs.google.com/spreadsheets/d/1IYY_tgx_IHuhSq3AJ5eI5OnqOPBNLWSHKh2a30DoXe8/edit?usp=sharing"",""สุราษฎร์ธานี!L477"")"),0)</f>
        <v>0</v>
      </c>
      <c r="M582" s="169"/>
      <c r="N582" s="175">
        <f ca="1">IFERROR(__xludf.DUMMYFUNCTION("IMPORTRANGE(""https://docs.google.com/spreadsheets/d/1IYY_tgx_IHuhSq3AJ5eI5OnqOPBNLWSHKh2a30DoXe8/edit?usp=sharing"",""สุราษฎร์ธานี!M477"")"),0)</f>
        <v>0</v>
      </c>
      <c r="O582" s="175">
        <f t="shared" ca="1" si="124"/>
        <v>0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IFERROR(__xludf.DUMMYFUNCTION("IMPORTRANGE(""https://docs.google.com/spreadsheets/d/1IYY_tgx_IHuhSq3AJ5eI5OnqOPBNLWSHKh2a30DoXe8/edit?usp=sharing"",""สุราษฎร์ธานี!L478"")"),0)</f>
        <v>0</v>
      </c>
      <c r="M583" s="175"/>
      <c r="N583" s="175">
        <f ca="1">IFERROR(__xludf.DUMMYFUNCTION("IMPORTRANGE(""https://docs.google.com/spreadsheets/d/1IYY_tgx_IHuhSq3AJ5eI5OnqOPBNLWSHKh2a30DoXe8/edit?usp=sharing"",""สุราษฎร์ธานี!M478"")"),0)</f>
        <v>0</v>
      </c>
      <c r="O583" s="175">
        <f t="shared" ca="1" si="124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IFERROR(__xludf.DUMMYFUNCTION("IMPORTRANGE(""https://docs.google.com/spreadsheets/d/1IYY_tgx_IHuhSq3AJ5eI5OnqOPBNLWSHKh2a30DoXe8/edit?usp=sharing"",""สุราษฎร์ธานี!L479"")"),0)</f>
        <v>0</v>
      </c>
      <c r="M584" s="175"/>
      <c r="N584" s="175">
        <f ca="1">IFERROR(__xludf.DUMMYFUNCTION("IMPORTRANGE(""https://docs.google.com/spreadsheets/d/1IYY_tgx_IHuhSq3AJ5eI5OnqOPBNLWSHKh2a30DoXe8/edit?usp=sharing"",""สุราษฎร์ธานี!M479"")"),0)</f>
        <v>0</v>
      </c>
      <c r="O584" s="175">
        <f t="shared" ca="1" si="124"/>
        <v>0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IFERROR(__xludf.DUMMYFUNCTION("IMPORTRANGE(""https://docs.google.com/spreadsheets/d/1IYY_tgx_IHuhSq3AJ5eI5OnqOPBNLWSHKh2a30DoXe8/edit?usp=sharing"",""สุราษฎร์ธานี!M480"")"),0)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IFERROR(__xludf.DUMMYFUNCTION("IMPORTRANGE(""https://docs.google.com/spreadsheets/d/1IYY_tgx_IHuhSq3AJ5eI5OnqOPBNLWSHKh2a30DoXe8/edit?usp=sharing"",""สุราษฎร์ธานี!M481"")"),0)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IFERROR(__xludf.DUMMYFUNCTION("IMPORTRANGE(""https://docs.google.com/spreadsheets/d/1IYY_tgx_IHuhSq3AJ5eI5OnqOPBNLWSHKh2a30DoXe8/edit?usp=sharing"",""สุราษฎร์ธานี!M482"")"),0)</f>
        <v>0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IFERROR(__xludf.DUMMYFUNCTION("IMPORTRANGE(""https://docs.google.com/spreadsheets/d/1IYY_tgx_IHuhSq3AJ5eI5OnqOPBNLWSHKh2a30DoXe8/edit?usp=sharing"",""สุราษฎร์ธานี!M483"")"),0)</f>
        <v>0</v>
      </c>
      <c r="O588" s="175"/>
      <c r="P588" s="175"/>
    </row>
    <row r="589" spans="1:16" ht="21.75" customHeight="1" x14ac:dyDescent="0.2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IFERROR(__xludf.DUMMYFUNCTION("IMPORTRANGE(""https://docs.google.com/spreadsheets/d/1IYY_tgx_IHuhSq3AJ5eI5OnqOPBNLWSHKh2a30DoXe8/edit?usp=sharing"",""สุราษฎร์ธานี!I484"")"),0)</f>
        <v>0</v>
      </c>
      <c r="J589" s="194">
        <f ca="1">IFERROR(__xludf.DUMMYFUNCTION("IMPORTRANGE(""https://docs.google.com/spreadsheets/d/1IYY_tgx_IHuhSq3AJ5eI5OnqOPBNLWSHKh2a30DoXe8/edit?usp=sharing"",""สุราษฎร์ธานี!J484"")"),0)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2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IFERROR(__xludf.DUMMYFUNCTION("IMPORTRANGE(""https://docs.google.com/spreadsheets/d/1IYY_tgx_IHuhSq3AJ5eI5OnqOPBNLWSHKh2a30DoXe8/edit?usp=sharing"",""สุราษฎร์ธานี!I485"")"),0)</f>
        <v>0</v>
      </c>
      <c r="J590" s="194">
        <f ca="1">IFERROR(__xludf.DUMMYFUNCTION("IMPORTRANGE(""https://docs.google.com/spreadsheets/d/1IYY_tgx_IHuhSq3AJ5eI5OnqOPBNLWSHKh2a30DoXe8/edit?usp=sharing"",""สุราษฎร์ธานี!J485"")"),0)</f>
        <v>0</v>
      </c>
      <c r="K590" s="486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IFERROR(__xludf.DUMMYFUNCTION("IMPORTRANGE(""https://docs.google.com/spreadsheets/d/1IYY_tgx_IHuhSq3AJ5eI5OnqOPBNLWSHKh2a30DoXe8/edit?usp=sharing"",""สุราษฎร์ธานี!I486"")"),0)</f>
        <v>0</v>
      </c>
      <c r="J591" s="194">
        <f ca="1">IFERROR(__xludf.DUMMYFUNCTION("IMPORTRANGE(""https://docs.google.com/spreadsheets/d/1IYY_tgx_IHuhSq3AJ5eI5OnqOPBNLWSHKh2a30DoXe8/edit?usp=sharing"",""สุราษฎร์ธานี!J486"")"),0)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2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IFERROR(__xludf.DUMMYFUNCTION("IMPORTRANGE(""https://docs.google.com/spreadsheets/d/1IYY_tgx_IHuhSq3AJ5eI5OnqOPBNLWSHKh2a30DoXe8/edit?usp=sharing"",""สุราษฎร์ธานี!I487"")"),0)</f>
        <v>0</v>
      </c>
      <c r="J592" s="194">
        <f ca="1">IFERROR(__xludf.DUMMYFUNCTION("IMPORTRANGE(""https://docs.google.com/spreadsheets/d/1IYY_tgx_IHuhSq3AJ5eI5OnqOPBNLWSHKh2a30DoXe8/edit?usp=sharing"",""สุราษฎร์ธานี!J487"")"),0)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IFERROR(__xludf.DUMMYFUNCTION("IMPORTRANGE(""https://docs.google.com/spreadsheets/d/1IYY_tgx_IHuhSq3AJ5eI5OnqOPBNLWSHKh2a30DoXe8/edit?usp=sharing"",""สุราษฎร์ธานี!I488"")"),0)</f>
        <v>0</v>
      </c>
      <c r="J593" s="194">
        <f ca="1">IFERROR(__xludf.DUMMYFUNCTION("IMPORTRANGE(""https://docs.google.com/spreadsheets/d/1IYY_tgx_IHuhSq3AJ5eI5OnqOPBNLWSHKh2a30DoXe8/edit?usp=sharing"",""สุราษฎร์ธานี!J488"")"),0)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2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IFERROR(__xludf.DUMMYFUNCTION("IMPORTRANGE(""https://docs.google.com/spreadsheets/d/1IYY_tgx_IHuhSq3AJ5eI5OnqOPBNLWSHKh2a30DoXe8/edit?usp=sharing"",""สุราษฎร์ธานี!I489"")"),0)</f>
        <v>0</v>
      </c>
      <c r="J594" s="194">
        <f ca="1">IFERROR(__xludf.DUMMYFUNCTION("IMPORTRANGE(""https://docs.google.com/spreadsheets/d/1IYY_tgx_IHuhSq3AJ5eI5OnqOPBNLWSHKh2a30DoXe8/edit?usp=sharing"",""สุราษฎร์ธานี!J489"")"),0)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IFERROR(__xludf.DUMMYFUNCTION("IMPORTRANGE(""https://docs.google.com/spreadsheets/d/1IYY_tgx_IHuhSq3AJ5eI5OnqOPBNLWSHKh2a30DoXe8/edit?usp=sharing"",""สุราษฎร์ธานี!I490"")"),0)</f>
        <v>0</v>
      </c>
      <c r="J595" s="194">
        <f ca="1">IFERROR(__xludf.DUMMYFUNCTION("IMPORTRANGE(""https://docs.google.com/spreadsheets/d/1IYY_tgx_IHuhSq3AJ5eI5OnqOPBNLWSHKh2a30DoXe8/edit?usp=sharing"",""สุราษฎร์ธานี!J490"")"),0)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2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IFERROR(__xludf.DUMMYFUNCTION("IMPORTRANGE(""https://docs.google.com/spreadsheets/d/1IYY_tgx_IHuhSq3AJ5eI5OnqOPBNLWSHKh2a30DoXe8/edit?usp=sharing"",""สุราษฎร์ธานี!I491"")"),0)</f>
        <v>0</v>
      </c>
      <c r="J596" s="247">
        <f ca="1">IFERROR(__xludf.DUMMYFUNCTION("IMPORTRANGE(""https://docs.google.com/spreadsheets/d/1IYY_tgx_IHuhSq3AJ5eI5OnqOPBNLWSHKh2a30DoXe8/edit?usp=sharing"",""สุราษฎร์ธานี!J491"")"),0)</f>
        <v>0</v>
      </c>
      <c r="K596" s="493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IFERROR(__xludf.DUMMYFUNCTION("IMPORTRANGE(""https://docs.google.com/spreadsheets/d/1IYY_tgx_IHuhSq3AJ5eI5OnqOPBNLWSHKh2a30DoXe8/edit?usp=sharing"",""สุราษฎร์ธานี!I492"")"),100)</f>
        <v>100</v>
      </c>
      <c r="J597" s="494">
        <f ca="1">IFERROR(__xludf.DUMMYFUNCTION("IMPORTRANGE(""https://docs.google.com/spreadsheets/d/1IYY_tgx_IHuhSq3AJ5eI5OnqOPBNLWSHKh2a30DoXe8/edit?usp=sharing"",""สุราษฎร์ธานี!J492"")"),0)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IFERROR(__xludf.DUMMYFUNCTION("IMPORTRANGE(""https://docs.google.com/spreadsheets/d/1IYY_tgx_IHuhSq3AJ5eI5OnqOPBNLWSHKh2a30DoXe8/edit?usp=sharing"",""สุราษฎร์ธานี!L492"")"),2600)</f>
        <v>2600</v>
      </c>
      <c r="M597" s="418"/>
      <c r="N597" s="418">
        <f ca="1">IFERROR(__xludf.DUMMYFUNCTION("IMPORTRANGE(""https://docs.google.com/spreadsheets/d/1IYY_tgx_IHuhSq3AJ5eI5OnqOPBNLWSHKh2a30DoXe8/edit?usp=sharing"",""สุราษฎร์ธานี!M492"")"),2600)</f>
        <v>2600</v>
      </c>
      <c r="O597" s="418">
        <f t="shared" ref="O597:O601" ca="1" si="126">+IF(L597&gt;0,N597*100/L597,0)</f>
        <v>100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IFERROR(__xludf.DUMMYFUNCTION("IMPORTRANGE(""https://docs.google.com/spreadsheets/d/1IYY_tgx_IHuhSq3AJ5eI5OnqOPBNLWSHKh2a30DoXe8/edit?usp=sharing"",""สุราษฎร์ธานี!L493"")"),0)</f>
        <v>0</v>
      </c>
      <c r="M598" s="168"/>
      <c r="N598" s="175">
        <f ca="1">IFERROR(__xludf.DUMMYFUNCTION("IMPORTRANGE(""https://docs.google.com/spreadsheets/d/1IYY_tgx_IHuhSq3AJ5eI5OnqOPBNLWSHKh2a30DoXe8/edit?usp=sharing"",""สุราษฎร์ธานี!M493"")"),0)</f>
        <v>0</v>
      </c>
      <c r="O598" s="175">
        <f t="shared" ca="1" si="126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IFERROR(__xludf.DUMMYFUNCTION("IMPORTRANGE(""https://docs.google.com/spreadsheets/d/1IYY_tgx_IHuhSq3AJ5eI5OnqOPBNLWSHKh2a30DoXe8/edit?usp=sharing"",""สุราษฎร์ธานี!L494"")"),2600)</f>
        <v>2600</v>
      </c>
      <c r="M599" s="169"/>
      <c r="N599" s="175">
        <f ca="1">IFERROR(__xludf.DUMMYFUNCTION("IMPORTRANGE(""https://docs.google.com/spreadsheets/d/1IYY_tgx_IHuhSq3AJ5eI5OnqOPBNLWSHKh2a30DoXe8/edit?usp=sharing"",""สุราษฎร์ธานี!M494"")"),2600)</f>
        <v>2600</v>
      </c>
      <c r="O599" s="175">
        <f t="shared" ca="1" si="126"/>
        <v>100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IFERROR(__xludf.DUMMYFUNCTION("IMPORTRANGE(""https://docs.google.com/spreadsheets/d/1IYY_tgx_IHuhSq3AJ5eI5OnqOPBNLWSHKh2a30DoXe8/edit?usp=sharing"",""สุราษฎร์ธานี!L495"")"),0)</f>
        <v>0</v>
      </c>
      <c r="M600" s="175"/>
      <c r="N600" s="175">
        <f ca="1">IFERROR(__xludf.DUMMYFUNCTION("IMPORTRANGE(""https://docs.google.com/spreadsheets/d/1IYY_tgx_IHuhSq3AJ5eI5OnqOPBNLWSHKh2a30DoXe8/edit?usp=sharing"",""สุราษฎร์ธานี!M495"")"),0)</f>
        <v>0</v>
      </c>
      <c r="O600" s="175">
        <f t="shared" ca="1" si="126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IFERROR(__xludf.DUMMYFUNCTION("IMPORTRANGE(""https://docs.google.com/spreadsheets/d/1IYY_tgx_IHuhSq3AJ5eI5OnqOPBNLWSHKh2a30DoXe8/edit?usp=sharing"",""สุราษฎร์ธานี!L496"")"),2600)</f>
        <v>2600</v>
      </c>
      <c r="M601" s="175"/>
      <c r="N601" s="175">
        <f ca="1">IFERROR(__xludf.DUMMYFUNCTION("IMPORTRANGE(""https://docs.google.com/spreadsheets/d/1IYY_tgx_IHuhSq3AJ5eI5OnqOPBNLWSHKh2a30DoXe8/edit?usp=sharing"",""สุราษฎร์ธานี!M496"")"),2600)</f>
        <v>2600</v>
      </c>
      <c r="O601" s="175">
        <f t="shared" ca="1" si="126"/>
        <v>100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IFERROR(__xludf.DUMMYFUNCTION("IMPORTRANGE(""https://docs.google.com/spreadsheets/d/1IYY_tgx_IHuhSq3AJ5eI5OnqOPBNLWSHKh2a30DoXe8/edit?usp=sharing"",""สุราษฎร์ธานี!M497"")"),0)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IFERROR(__xludf.DUMMYFUNCTION("IMPORTRANGE(""https://docs.google.com/spreadsheets/d/1IYY_tgx_IHuhSq3AJ5eI5OnqOPBNLWSHKh2a30DoXe8/edit?usp=sharing"",""สุราษฎร์ธานี!M498"")"),0)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IFERROR(__xludf.DUMMYFUNCTION("IMPORTRANGE(""https://docs.google.com/spreadsheets/d/1IYY_tgx_IHuhSq3AJ5eI5OnqOPBNLWSHKh2a30DoXe8/edit?usp=sharing"",""สุราษฎร์ธานี!M499"")"),0)</f>
        <v>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IFERROR(__xludf.DUMMYFUNCTION("IMPORTRANGE(""https://docs.google.com/spreadsheets/d/1IYY_tgx_IHuhSq3AJ5eI5OnqOPBNLWSHKh2a30DoXe8/edit?usp=sharing"",""สุราษฎร์ธานี!M500"")"),2600)</f>
        <v>2600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IFERROR(__xludf.DUMMYFUNCTION("IMPORTRANGE(""https://docs.google.com/spreadsheets/d/1IYY_tgx_IHuhSq3AJ5eI5OnqOPBNLWSHKh2a30DoXe8/edit?usp=sharing"",""สุราษฎร์ธานี!J502"")"),0)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IFERROR(__xludf.DUMMYFUNCTION("IMPORTRANGE(""https://docs.google.com/spreadsheets/d/1IYY_tgx_IHuhSq3AJ5eI5OnqOPBNLWSHKh2a30DoXe8/edit?usp=sharing"",""สุราษฎร์ธานี!J503"")"),1)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IFERROR(__xludf.DUMMYFUNCTION("IMPORTRANGE(""https://docs.google.com/spreadsheets/d/1IYY_tgx_IHuhSq3AJ5eI5OnqOPBNLWSHKh2a30DoXe8/edit?usp=sharing"",""สุราษฎร์ธานี!J166"")"),0)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2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IFERROR(__xludf.DUMMYFUNCTION("IMPORTRANGE(""https://docs.google.com/spreadsheets/d/1IYY_tgx_IHuhSq3AJ5eI5OnqOPBNLWSHKh2a30DoXe8/edit?usp=sharing"",""สุราษฎร์ธานี!J166"")"),0)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IFERROR(__xludf.DUMMYFUNCTION("IMPORTRANGE(""https://docs.google.com/spreadsheets/d/1IYY_tgx_IHuhSq3AJ5eI5OnqOPBNLWSHKh2a30DoXe8/edit?usp=sharing"",""สุราษฎร์ธานี!I506"")"),100)</f>
        <v>100</v>
      </c>
      <c r="J611" s="166">
        <f ca="1">IFERROR(__xludf.DUMMYFUNCTION("IMPORTRANGE(""https://docs.google.com/spreadsheets/d/1IYY_tgx_IHuhSq3AJ5eI5OnqOPBNLWSHKh2a30DoXe8/edit?usp=sharing"",""สุราษฎร์ธานี!J506"")"),0)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IFERROR(__xludf.DUMMYFUNCTION("IMPORTRANGE(""https://docs.google.com/spreadsheets/d/1IYY_tgx_IHuhSq3AJ5eI5OnqOPBNLWSHKh2a30DoXe8/edit?usp=sharing"",""สุราษฎร์ธานี!I507"")"),0)</f>
        <v>0</v>
      </c>
      <c r="J612" s="204">
        <f ca="1">IFERROR(__xludf.DUMMYFUNCTION("IMPORTRANGE(""https://docs.google.com/spreadsheets/d/1IYY_tgx_IHuhSq3AJ5eI5OnqOPBNLWSHKh2a30DoXe8/edit?usp=sharing"",""สุราษฎร์ธานี!J507"")"),45)</f>
        <v>45</v>
      </c>
      <c r="K612" s="167">
        <f t="shared" ca="1" si="127"/>
        <v>45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IFERROR(__xludf.DUMMYFUNCTION("IMPORTRANGE(""https://docs.google.com/spreadsheets/d/1IYY_tgx_IHuhSq3AJ5eI5OnqOPBNLWSHKh2a30DoXe8/edit?usp=sharing"",""สุราษฎร์ธานี!I508"")"),0)</f>
        <v>0</v>
      </c>
      <c r="J613" s="204">
        <f ca="1">IFERROR(__xludf.DUMMYFUNCTION("IMPORTRANGE(""https://docs.google.com/spreadsheets/d/1IYY_tgx_IHuhSq3AJ5eI5OnqOPBNLWSHKh2a30DoXe8/edit?usp=sharing"",""สุราษฎร์ธานี!J508"")"),45)</f>
        <v>45</v>
      </c>
      <c r="K613" s="167">
        <f t="shared" ca="1" si="127"/>
        <v>45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IFERROR(__xludf.DUMMYFUNCTION("IMPORTRANGE(""https://docs.google.com/spreadsheets/d/1IYY_tgx_IHuhSq3AJ5eI5OnqOPBNLWSHKh2a30DoXe8/edit?usp=sharing"",""สุราษฎร์ธานี!I509"")"),0)</f>
        <v>0</v>
      </c>
      <c r="J614" s="204">
        <f ca="1">IFERROR(__xludf.DUMMYFUNCTION("IMPORTRANGE(""https://docs.google.com/spreadsheets/d/1IYY_tgx_IHuhSq3AJ5eI5OnqOPBNLWSHKh2a30DoXe8/edit?usp=sharing"",""สุราษฎร์ธานี!J509"")"),45)</f>
        <v>45</v>
      </c>
      <c r="K614" s="167">
        <f t="shared" ca="1" si="127"/>
        <v>45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IFERROR(__xludf.DUMMYFUNCTION("IMPORTRANGE(""https://docs.google.com/spreadsheets/d/1IYY_tgx_IHuhSq3AJ5eI5OnqOPBNLWSHKh2a30DoXe8/edit?usp=sharing"",""สุราษฎร์ธานี!I510"")"),0)</f>
        <v>0</v>
      </c>
      <c r="J615" s="204">
        <f ca="1">IFERROR(__xludf.DUMMYFUNCTION("IMPORTRANGE(""https://docs.google.com/spreadsheets/d/1IYY_tgx_IHuhSq3AJ5eI5OnqOPBNLWSHKh2a30DoXe8/edit?usp=sharing"",""สุราษฎร์ธานี!J510"")"),0)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IFERROR(__xludf.DUMMYFUNCTION("IMPORTRANGE(""https://docs.google.com/spreadsheets/d/1IYY_tgx_IHuhSq3AJ5eI5OnqOPBNLWSHKh2a30DoXe8/edit?usp=sharing"",""สุราษฎร์ธานี!I511"")"),0)</f>
        <v>0</v>
      </c>
      <c r="J616" s="204">
        <f ca="1">IFERROR(__xludf.DUMMYFUNCTION("IMPORTRANGE(""https://docs.google.com/spreadsheets/d/1IYY_tgx_IHuhSq3AJ5eI5OnqOPBNLWSHKh2a30DoXe8/edit?usp=sharing"",""สุราษฎร์ธานี!J511"")"),0)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IFERROR(__xludf.DUMMYFUNCTION("IMPORTRANGE(""https://docs.google.com/spreadsheets/d/1IYY_tgx_IHuhSq3AJ5eI5OnqOPBNLWSHKh2a30DoXe8/edit?usp=sharing"",""สุราษฎร์ธานี!I512"")"),0)</f>
        <v>0</v>
      </c>
      <c r="J617" s="194">
        <f ca="1">IFERROR(__xludf.DUMMYFUNCTION("IMPORTRANGE(""https://docs.google.com/spreadsheets/d/1IYY_tgx_IHuhSq3AJ5eI5OnqOPBNLWSHKh2a30DoXe8/edit?usp=sharing"",""สุราษฎร์ธานี!J512"")"),0)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IFERROR(__xludf.DUMMYFUNCTION("IMPORTRANGE(""https://docs.google.com/spreadsheets/d/1IYY_tgx_IHuhSq3AJ5eI5OnqOPBNLWSHKh2a30DoXe8/edit?usp=sharing"",""สุราษฎร์ธานี!I513"")"),0)</f>
        <v>0</v>
      </c>
      <c r="J618" s="195">
        <f ca="1">IFERROR(__xludf.DUMMYFUNCTION("IMPORTRANGE(""https://docs.google.com/spreadsheets/d/1IYY_tgx_IHuhSq3AJ5eI5OnqOPBNLWSHKh2a30DoXe8/edit?usp=sharing"",""สุราษฎร์ธานี!J513"")"),0)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IFERROR(__xludf.DUMMYFUNCTION("IMPORTRANGE(""https://docs.google.com/spreadsheets/d/1IYY_tgx_IHuhSq3AJ5eI5OnqOPBNLWSHKh2a30DoXe8/edit?usp=sharing"",""สุราษฎร์ธานี!I514"")"),0)</f>
        <v>0</v>
      </c>
      <c r="J619" s="195">
        <f ca="1">IFERROR(__xludf.DUMMYFUNCTION("IMPORTRANGE(""https://docs.google.com/spreadsheets/d/1IYY_tgx_IHuhSq3AJ5eI5OnqOPBNLWSHKh2a30DoXe8/edit?usp=sharing"",""สุราษฎร์ธานี!J514"")"),0)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IFERROR(__xludf.DUMMYFUNCTION("IMPORTRANGE(""https://docs.google.com/spreadsheets/d/1IYY_tgx_IHuhSq3AJ5eI5OnqOPBNLWSHKh2a30DoXe8/edit?usp=sharing"",""สุราษฎร์ธานี!I515"")"),0)</f>
        <v>0</v>
      </c>
      <c r="J620" s="209">
        <f ca="1">IFERROR(__xludf.DUMMYFUNCTION("IMPORTRANGE(""https://docs.google.com/spreadsheets/d/1IYY_tgx_IHuhSq3AJ5eI5OnqOPBNLWSHKh2a30DoXe8/edit?usp=sharing"",""สุราษฎร์ธานี!J515"")"),0)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IFERROR(__xludf.DUMMYFUNCTION("IMPORTRANGE(""https://docs.google.com/spreadsheets/d/1IYY_tgx_IHuhSq3AJ5eI5OnqOPBNLWSHKh2a30DoXe8/edit?usp=sharing"",""สุราษฎร์ธานี!I516"")"),0)</f>
        <v>0</v>
      </c>
      <c r="J621" s="209">
        <f ca="1">IFERROR(__xludf.DUMMYFUNCTION("IMPORTRANGE(""https://docs.google.com/spreadsheets/d/1IYY_tgx_IHuhSq3AJ5eI5OnqOPBNLWSHKh2a30DoXe8/edit?usp=sharing"",""สุราษฎร์ธานี!J516"")"),0)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IFERROR(__xludf.DUMMYFUNCTION("IMPORTRANGE(""https://docs.google.com/spreadsheets/d/1IYY_tgx_IHuhSq3AJ5eI5OnqOPBNLWSHKh2a30DoXe8/edit?usp=sharing"",""สุราษฎร์ธานี!I517"")"),0)</f>
        <v>0</v>
      </c>
      <c r="J622" s="195">
        <f ca="1">IFERROR(__xludf.DUMMYFUNCTION("IMPORTRANGE(""https://docs.google.com/spreadsheets/d/1IYY_tgx_IHuhSq3AJ5eI5OnqOPBNLWSHKh2a30DoXe8/edit?usp=sharing"",""สุราษฎร์ธานี!J517"")"),0)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IFERROR(__xludf.DUMMYFUNCTION("IMPORTRANGE(""https://docs.google.com/spreadsheets/d/1IYY_tgx_IHuhSq3AJ5eI5OnqOPBNLWSHKh2a30DoXe8/edit?usp=sharing"",""สุราษฎร์ธานี!I518"")"),0)</f>
        <v>0</v>
      </c>
      <c r="J623" s="195">
        <f ca="1">IFERROR(__xludf.DUMMYFUNCTION("IMPORTRANGE(""https://docs.google.com/spreadsheets/d/1IYY_tgx_IHuhSq3AJ5eI5OnqOPBNLWSHKh2a30DoXe8/edit?usp=sharing"",""สุราษฎร์ธานี!J518"")"),0)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IFERROR(__xludf.DUMMYFUNCTION("IMPORTRANGE(""https://docs.google.com/spreadsheets/d/1IYY_tgx_IHuhSq3AJ5eI5OnqOPBNLWSHKh2a30DoXe8/edit?usp=sharing"",""สุราษฎร์ธานี!I519"")"),0)</f>
        <v>0</v>
      </c>
      <c r="J624" s="194">
        <f ca="1">IFERROR(__xludf.DUMMYFUNCTION("IMPORTRANGE(""https://docs.google.com/spreadsheets/d/1IYY_tgx_IHuhSq3AJ5eI5OnqOPBNLWSHKh2a30DoXe8/edit?usp=sharing"",""สุราษฎร์ธานี!J519"")"),0)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IFERROR(__xludf.DUMMYFUNCTION("IMPORTRANGE(""https://docs.google.com/spreadsheets/d/1IYY_tgx_IHuhSq3AJ5eI5OnqOPBNLWSHKh2a30DoXe8/edit?usp=sharing"",""สุราษฎร์ธานี!I520"")"),0)</f>
        <v>0</v>
      </c>
      <c r="J625" s="195">
        <f ca="1">IFERROR(__xludf.DUMMYFUNCTION("IMPORTRANGE(""https://docs.google.com/spreadsheets/d/1IYY_tgx_IHuhSq3AJ5eI5OnqOPBNLWSHKh2a30DoXe8/edit?usp=sharing"",""สุราษฎร์ธานี!J520"")"),0)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IFERROR(__xludf.DUMMYFUNCTION("IMPORTRANGE(""https://docs.google.com/spreadsheets/d/1IYY_tgx_IHuhSq3AJ5eI5OnqOPBNLWSHKh2a30DoXe8/edit?usp=sharing"",""สุราษฎร์ธานี!I521"")"),0)</f>
        <v>0</v>
      </c>
      <c r="J626" s="195">
        <f ca="1">IFERROR(__xludf.DUMMYFUNCTION("IMPORTRANGE(""https://docs.google.com/spreadsheets/d/1IYY_tgx_IHuhSq3AJ5eI5OnqOPBNLWSHKh2a30DoXe8/edit?usp=sharing"",""สุราษฎร์ธานี!J521"")"),0)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2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2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IFERROR(__xludf.DUMMYFUNCTION("IMPORTRANGE(""https://docs.google.com/spreadsheets/d/1IYY_tgx_IHuhSq3AJ5eI5OnqOPBNLWSHKh2a30DoXe8/edit?usp=sharing"",""สุราษฎร์ธานี!I523"")"),4091300.88)</f>
        <v>4091300.88</v>
      </c>
      <c r="J628" s="347">
        <f ca="1">IFERROR(__xludf.DUMMYFUNCTION("IMPORTRANGE(""https://docs.google.com/spreadsheets/d/1IYY_tgx_IHuhSq3AJ5eI5OnqOPBNLWSHKh2a30DoXe8/edit?usp=sharing"",""สุราษฎร์ธานี!J523"")"),3375488.33)</f>
        <v>3375488.33</v>
      </c>
      <c r="K628" s="348">
        <f t="shared" ref="K628:K635" ca="1" si="129">IF(I628&gt;0,J628*100/I628,0)</f>
        <v>82.504035489074084</v>
      </c>
      <c r="L628" s="348"/>
      <c r="M628" s="348"/>
      <c r="N628" s="348"/>
      <c r="O628" s="175"/>
      <c r="P628" s="175"/>
    </row>
    <row r="629" spans="1:16" ht="21.75" customHeight="1" x14ac:dyDescent="0.2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IFERROR(__xludf.DUMMYFUNCTION("IMPORTRANGE(""https://docs.google.com/spreadsheets/d/1IYY_tgx_IHuhSq3AJ5eI5OnqOPBNLWSHKh2a30DoXe8/edit?usp=sharing"",""สุราษฎร์ธานี!I524"")"),252)</f>
        <v>252</v>
      </c>
      <c r="J629" s="347">
        <f ca="1">IFERROR(__xludf.DUMMYFUNCTION("IMPORTRANGE(""https://docs.google.com/spreadsheets/d/1IYY_tgx_IHuhSq3AJ5eI5OnqOPBNLWSHKh2a30DoXe8/edit?usp=sharing"",""สุราษฎร์ธานี!J524"")"),215)</f>
        <v>215</v>
      </c>
      <c r="K629" s="348">
        <f t="shared" ca="1" si="129"/>
        <v>85.317460317460316</v>
      </c>
      <c r="L629" s="348"/>
      <c r="M629" s="348"/>
      <c r="N629" s="348"/>
      <c r="O629" s="175"/>
      <c r="P629" s="175"/>
    </row>
    <row r="630" spans="1:16" ht="21.75" customHeight="1" x14ac:dyDescent="0.2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IFERROR(__xludf.DUMMYFUNCTION("IMPORTRANGE(""https://docs.google.com/spreadsheets/d/1IYY_tgx_IHuhSq3AJ5eI5OnqOPBNLWSHKh2a30DoXe8/edit?usp=sharing"",""สุราษฎร์ธานี!I525"")"),2294817.46)</f>
        <v>2294817.46</v>
      </c>
      <c r="J630" s="347">
        <f ca="1">IFERROR(__xludf.DUMMYFUNCTION("IMPORTRANGE(""https://docs.google.com/spreadsheets/d/1IYY_tgx_IHuhSq3AJ5eI5OnqOPBNLWSHKh2a30DoXe8/edit?usp=sharing"",""สุราษฎร์ธานี!J525"")"),714050.19)</f>
        <v>714050.19</v>
      </c>
      <c r="K630" s="348">
        <f t="shared" ca="1" si="129"/>
        <v>31.115772929494792</v>
      </c>
      <c r="L630" s="348"/>
      <c r="M630" s="348"/>
      <c r="N630" s="348"/>
      <c r="O630" s="175"/>
      <c r="P630" s="175"/>
    </row>
    <row r="631" spans="1:16" ht="21.75" customHeight="1" x14ac:dyDescent="0.2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IFERROR(__xludf.DUMMYFUNCTION("IMPORTRANGE(""https://docs.google.com/spreadsheets/d/1IYY_tgx_IHuhSq3AJ5eI5OnqOPBNLWSHKh2a30DoXe8/edit?usp=sharing"",""สุราษฎร์ธานี!I526"")"),72)</f>
        <v>72</v>
      </c>
      <c r="J631" s="347">
        <f ca="1">IFERROR(__xludf.DUMMYFUNCTION("IMPORTRANGE(""https://docs.google.com/spreadsheets/d/1IYY_tgx_IHuhSq3AJ5eI5OnqOPBNLWSHKh2a30DoXe8/edit?usp=sharing"",""สุราษฎร์ธานี!J526"")"),65)</f>
        <v>65</v>
      </c>
      <c r="K631" s="348">
        <f t="shared" ca="1" si="129"/>
        <v>90.277777777777771</v>
      </c>
      <c r="L631" s="348"/>
      <c r="M631" s="348"/>
      <c r="N631" s="348"/>
      <c r="O631" s="175"/>
      <c r="P631" s="175"/>
    </row>
    <row r="632" spans="1:16" ht="21.75" customHeight="1" x14ac:dyDescent="0.2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IFERROR(__xludf.DUMMYFUNCTION("IMPORTRANGE(""https://docs.google.com/spreadsheets/d/1IYY_tgx_IHuhSq3AJ5eI5OnqOPBNLWSHKh2a30DoXe8/edit?usp=sharing"",""สุราษฎร์ธานี!I527"")"),0)</f>
        <v>0</v>
      </c>
      <c r="J632" s="347">
        <f ca="1">IFERROR(__xludf.DUMMYFUNCTION("IMPORTRANGE(""https://docs.google.com/spreadsheets/d/1IYY_tgx_IHuhSq3AJ5eI5OnqOPBNLWSHKh2a30DoXe8/edit?usp=sharing"",""สุราษฎร์ธานี!J527"")"),0)</f>
        <v>0</v>
      </c>
      <c r="K632" s="348">
        <f t="shared" ca="1" si="129"/>
        <v>0</v>
      </c>
      <c r="L632" s="348"/>
      <c r="M632" s="348"/>
      <c r="N632" s="348"/>
      <c r="O632" s="175"/>
      <c r="P632" s="175"/>
    </row>
    <row r="633" spans="1:16" ht="21.75" customHeight="1" x14ac:dyDescent="0.2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IFERROR(__xludf.DUMMYFUNCTION("IMPORTRANGE(""https://docs.google.com/spreadsheets/d/1IYY_tgx_IHuhSq3AJ5eI5OnqOPBNLWSHKh2a30DoXe8/edit?usp=sharing"",""สุราษฎร์ธานี!I528"")"),0)</f>
        <v>0</v>
      </c>
      <c r="J633" s="347">
        <f ca="1">IFERROR(__xludf.DUMMYFUNCTION("IMPORTRANGE(""https://docs.google.com/spreadsheets/d/1IYY_tgx_IHuhSq3AJ5eI5OnqOPBNLWSHKh2a30DoXe8/edit?usp=sharing"",""สุราษฎร์ธานี!J528"")"),0)</f>
        <v>0</v>
      </c>
      <c r="K633" s="348">
        <f t="shared" ca="1" si="129"/>
        <v>0</v>
      </c>
      <c r="L633" s="348"/>
      <c r="M633" s="348"/>
      <c r="N633" s="348"/>
      <c r="O633" s="175"/>
      <c r="P633" s="175"/>
    </row>
    <row r="634" spans="1:16" ht="21.75" customHeight="1" x14ac:dyDescent="0.2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IFERROR(__xludf.DUMMYFUNCTION("IMPORTRANGE(""https://docs.google.com/spreadsheets/d/1IYY_tgx_IHuhSq3AJ5eI5OnqOPBNLWSHKh2a30DoXe8/edit?usp=sharing"",""สุราษฎร์ธานี!I529"")"),5000000)</f>
        <v>5000000</v>
      </c>
      <c r="J634" s="347">
        <f ca="1">IFERROR(__xludf.DUMMYFUNCTION("IMPORTRANGE(""https://docs.google.com/spreadsheets/d/1IYY_tgx_IHuhSq3AJ5eI5OnqOPBNLWSHKh2a30DoXe8/edit?usp=sharing"",""สุราษฎร์ธานี!J529"")"),5000000)</f>
        <v>5000000</v>
      </c>
      <c r="K634" s="348">
        <f t="shared" ca="1" si="129"/>
        <v>100</v>
      </c>
      <c r="L634" s="348"/>
      <c r="M634" s="348"/>
      <c r="N634" s="348"/>
      <c r="O634" s="175"/>
      <c r="P634" s="175"/>
    </row>
    <row r="635" spans="1:16" ht="21.75" customHeight="1" x14ac:dyDescent="0.25">
      <c r="A635" s="487"/>
      <c r="B635" s="489"/>
      <c r="C635" s="489"/>
      <c r="D635" s="488"/>
      <c r="E635" s="515"/>
      <c r="F635" s="515"/>
      <c r="G635" s="516"/>
      <c r="H635" s="517" t="s">
        <v>37</v>
      </c>
      <c r="I635" s="518">
        <f ca="1">IFERROR(__xludf.DUMMYFUNCTION("IMPORTRANGE(""https://docs.google.com/spreadsheets/d/1IYY_tgx_IHuhSq3AJ5eI5OnqOPBNLWSHKh2a30DoXe8/edit?usp=sharing"",""สุราษฎร์ธานี!I530"")"),100)</f>
        <v>100</v>
      </c>
      <c r="J635" s="518">
        <f ca="1">IFERROR(__xludf.DUMMYFUNCTION("IMPORTRANGE(""https://docs.google.com/spreadsheets/d/1IYY_tgx_IHuhSq3AJ5eI5OnqOPBNLWSHKh2a30DoXe8/edit?usp=sharing"",""สุราษฎร์ธานี!J530"")"),100)</f>
        <v>100</v>
      </c>
      <c r="K635" s="493">
        <f t="shared" ca="1" si="129"/>
        <v>100</v>
      </c>
      <c r="L635" s="493"/>
      <c r="M635" s="493"/>
      <c r="N635" s="493"/>
      <c r="O635" s="519"/>
      <c r="P635" s="519"/>
    </row>
    <row r="636" spans="1:16" ht="21.75" customHeight="1" x14ac:dyDescent="0.3">
      <c r="A636" s="520"/>
      <c r="B636" s="599" t="s">
        <v>237</v>
      </c>
      <c r="C636" s="600"/>
      <c r="D636" s="600"/>
      <c r="E636" s="600"/>
      <c r="F636" s="600"/>
      <c r="G636" s="600"/>
      <c r="H636" s="521"/>
      <c r="I636" s="521"/>
      <c r="J636" s="521"/>
      <c r="K636" s="522"/>
      <c r="L636" s="523">
        <f ca="1">SUM(L637,L638)</f>
        <v>0</v>
      </c>
      <c r="M636" s="524"/>
      <c r="N636" s="523">
        <f ca="1">SUM(N637:N638)</f>
        <v>0</v>
      </c>
      <c r="O636" s="523">
        <f t="shared" ref="O636:O640" ca="1" si="130">+IF(L636&gt;0,N636*100/L636,0)</f>
        <v>0</v>
      </c>
      <c r="P636" s="523"/>
    </row>
    <row r="637" spans="1:16" ht="21.75" customHeight="1" x14ac:dyDescent="0.3">
      <c r="A637" s="525"/>
      <c r="B637" s="526"/>
      <c r="C637" s="527" t="s">
        <v>16</v>
      </c>
      <c r="D637" s="601" t="s">
        <v>77</v>
      </c>
      <c r="E637" s="575"/>
      <c r="F637" s="575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130"/>
        <v>0</v>
      </c>
      <c r="P637" s="535"/>
    </row>
    <row r="638" spans="1:16" ht="21.75" customHeight="1" x14ac:dyDescent="0.3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0</v>
      </c>
      <c r="M638" s="534"/>
      <c r="N638" s="535">
        <f ca="1">SUM(N639:N640)</f>
        <v>0</v>
      </c>
      <c r="O638" s="535">
        <f t="shared" ca="1" si="130"/>
        <v>0</v>
      </c>
      <c r="P638" s="535"/>
    </row>
    <row r="639" spans="1:16" ht="21.75" customHeight="1" x14ac:dyDescent="0.3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130"/>
        <v>0</v>
      </c>
      <c r="P639" s="535"/>
    </row>
    <row r="640" spans="1:16" ht="21.75" customHeight="1" x14ac:dyDescent="0.3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0</v>
      </c>
      <c r="M640" s="534"/>
      <c r="N640" s="535">
        <f ca="1">SUM(N641:N644)</f>
        <v>0</v>
      </c>
      <c r="O640" s="535">
        <f t="shared" ca="1" si="130"/>
        <v>0</v>
      </c>
      <c r="P640" s="535"/>
    </row>
    <row r="641" spans="1:16" ht="21.75" customHeight="1" x14ac:dyDescent="0.3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3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3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3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0</v>
      </c>
      <c r="O644" s="537"/>
      <c r="P644" s="537"/>
    </row>
    <row r="645" spans="1:16" ht="21.75" customHeight="1" x14ac:dyDescent="0.3">
      <c r="A645" s="539"/>
      <c r="B645" s="540"/>
      <c r="C645" s="527" t="s">
        <v>16</v>
      </c>
      <c r="D645" s="602" t="s">
        <v>242</v>
      </c>
      <c r="E645" s="575"/>
      <c r="F645" s="575"/>
      <c r="G645" s="575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3">
      <c r="A646" s="539"/>
      <c r="B646" s="540"/>
      <c r="C646" s="540"/>
      <c r="D646" s="541">
        <v>1</v>
      </c>
      <c r="E646" s="603" t="s">
        <v>44</v>
      </c>
      <c r="F646" s="575"/>
      <c r="G646" s="575"/>
      <c r="H646" s="536"/>
      <c r="I646" s="542"/>
      <c r="J646" s="543">
        <f ca="1">IFERROR(__xludf.DUMMYFUNCTION("IMPORTRANGE(""https://docs.google.com/spreadsheets/d/1IYY_tgx_IHuhSq3AJ5eI5OnqOPBNLWSHKh2a30DoXe8/edit?usp=sharing"",""สุราษฎร์ธานี!J541"")"),0)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3">
      <c r="A647" s="539"/>
      <c r="B647" s="540"/>
      <c r="C647" s="540"/>
      <c r="D647" s="545">
        <v>2</v>
      </c>
      <c r="E647" s="604" t="s">
        <v>243</v>
      </c>
      <c r="F647" s="575"/>
      <c r="G647" s="575"/>
      <c r="H647" s="536"/>
      <c r="I647" s="542"/>
      <c r="J647" s="543">
        <f ca="1">IFERROR(__xludf.DUMMYFUNCTION("IMPORTRANGE(""https://docs.google.com/spreadsheets/d/1IYY_tgx_IHuhSq3AJ5eI5OnqOPBNLWSHKh2a30DoXe8/edit?usp=sharing"",""สุราษฎร์ธานี!J542"")"),0)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3">
      <c r="A648" s="525"/>
      <c r="B648" s="526"/>
      <c r="C648" s="526"/>
      <c r="D648" s="526"/>
      <c r="E648" s="526"/>
      <c r="F648" s="598" t="s">
        <v>244</v>
      </c>
      <c r="G648" s="575"/>
      <c r="H648" s="529" t="s">
        <v>122</v>
      </c>
      <c r="I648" s="546">
        <f ca="1">IFERROR(__xludf.DUMMYFUNCTION("IMPORTRANGE(""https://docs.google.com/spreadsheets/d/1IYY_tgx_IHuhSq3AJ5eI5OnqOPBNLWSHKh2a30DoXe8/edit?usp=sharing"",""สุราษฎร์ธานี!I543"")"),0)</f>
        <v>0</v>
      </c>
      <c r="J648" s="547">
        <f ca="1">IFERROR(__xludf.DUMMYFUNCTION("IMPORTRANGE(""https://docs.google.com/spreadsheets/d/1IYY_tgx_IHuhSq3AJ5eI5OnqOPBNLWSHKh2a30DoXe8/edit?usp=sharing"",""สุราษฎร์ธานี!J543"")"),0)</f>
        <v>0</v>
      </c>
      <c r="K648" s="548">
        <f t="shared" ref="K648:K651" ca="1" si="131">IF(I648&gt;0,J648*100/I648,0)</f>
        <v>0</v>
      </c>
      <c r="L648" s="535">
        <f ca="1">IFERROR(__xludf.DUMMYFUNCTION("IMPORTRANGE(""https://docs.google.com/spreadsheets/d/1IYY_tgx_IHuhSq3AJ5eI5OnqOPBNLWSHKh2a30DoXe8/edit?usp=sharing"",""สุราษฎร์ธานี!L543"")"),0)</f>
        <v>0</v>
      </c>
      <c r="M648" s="534"/>
      <c r="N648" s="549">
        <f ca="1">IFERROR(__xludf.DUMMYFUNCTION("IMPORTRANGE(""https://docs.google.com/spreadsheets/d/1IYY_tgx_IHuhSq3AJ5eI5OnqOPBNLWSHKh2a30DoXe8/edit?usp=sharing"",""สุราษฎร์ธานี!M543"")"),0)</f>
        <v>0</v>
      </c>
      <c r="O648" s="548">
        <f t="shared" ref="O648:O651" ca="1" si="132">IF(L648&gt;0,N648*100/L648,0)</f>
        <v>0</v>
      </c>
      <c r="P648" s="548"/>
    </row>
    <row r="649" spans="1:16" ht="21.75" customHeight="1" x14ac:dyDescent="0.3">
      <c r="A649" s="525"/>
      <c r="B649" s="526"/>
      <c r="C649" s="526"/>
      <c r="D649" s="526"/>
      <c r="E649" s="526"/>
      <c r="F649" s="598" t="s">
        <v>245</v>
      </c>
      <c r="G649" s="575"/>
      <c r="H649" s="529" t="s">
        <v>37</v>
      </c>
      <c r="I649" s="546">
        <f ca="1">IFERROR(__xludf.DUMMYFUNCTION("IMPORTRANGE(""https://docs.google.com/spreadsheets/d/1IYY_tgx_IHuhSq3AJ5eI5OnqOPBNLWSHKh2a30DoXe8/edit?usp=sharing"",""สุราษฎร์ธานี!I544"")"),0)</f>
        <v>0</v>
      </c>
      <c r="J649" s="547">
        <f ca="1">IFERROR(__xludf.DUMMYFUNCTION("IMPORTRANGE(""https://docs.google.com/spreadsheets/d/1IYY_tgx_IHuhSq3AJ5eI5OnqOPBNLWSHKh2a30DoXe8/edit?usp=sharing"",""สุราษฎร์ธานี!J544"")"),0)</f>
        <v>0</v>
      </c>
      <c r="K649" s="548">
        <f t="shared" ca="1" si="131"/>
        <v>0</v>
      </c>
      <c r="L649" s="535">
        <f ca="1">IFERROR(__xludf.DUMMYFUNCTION("IMPORTRANGE(""https://docs.google.com/spreadsheets/d/1IYY_tgx_IHuhSq3AJ5eI5OnqOPBNLWSHKh2a30DoXe8/edit?usp=sharing"",""สุราษฎร์ธานี!L544"")"),0)</f>
        <v>0</v>
      </c>
      <c r="M649" s="534"/>
      <c r="N649" s="549">
        <f ca="1">IFERROR(__xludf.DUMMYFUNCTION("IMPORTRANGE(""https://docs.google.com/spreadsheets/d/1IYY_tgx_IHuhSq3AJ5eI5OnqOPBNLWSHKh2a30DoXe8/edit?usp=sharing"",""สุราษฎร์ธานี!M544"")"),0)</f>
        <v>0</v>
      </c>
      <c r="O649" s="548">
        <f t="shared" ca="1" si="132"/>
        <v>0</v>
      </c>
      <c r="P649" s="548"/>
    </row>
    <row r="650" spans="1:16" ht="21.75" customHeight="1" x14ac:dyDescent="0.3">
      <c r="A650" s="525"/>
      <c r="B650" s="526"/>
      <c r="C650" s="526"/>
      <c r="D650" s="526"/>
      <c r="E650" s="526"/>
      <c r="F650" s="598" t="s">
        <v>246</v>
      </c>
      <c r="G650" s="575"/>
      <c r="H650" s="529" t="s">
        <v>122</v>
      </c>
      <c r="I650" s="546">
        <f ca="1">IFERROR(__xludf.DUMMYFUNCTION("IMPORTRANGE(""https://docs.google.com/spreadsheets/d/1IYY_tgx_IHuhSq3AJ5eI5OnqOPBNLWSHKh2a30DoXe8/edit?usp=sharing"",""สุราษฎร์ธานี!I545"")"),0)</f>
        <v>0</v>
      </c>
      <c r="J650" s="547">
        <f ca="1">IFERROR(__xludf.DUMMYFUNCTION("IMPORTRANGE(""https://docs.google.com/spreadsheets/d/1IYY_tgx_IHuhSq3AJ5eI5OnqOPBNLWSHKh2a30DoXe8/edit?usp=sharing"",""สุราษฎร์ธานี!J545"")"),0)</f>
        <v>0</v>
      </c>
      <c r="K650" s="548">
        <f t="shared" ca="1" si="131"/>
        <v>0</v>
      </c>
      <c r="L650" s="535">
        <f ca="1">IFERROR(__xludf.DUMMYFUNCTION("IMPORTRANGE(""https://docs.google.com/spreadsheets/d/1IYY_tgx_IHuhSq3AJ5eI5OnqOPBNLWSHKh2a30DoXe8/edit?usp=sharing"",""สุราษฎร์ธานี!L545"")"),0)</f>
        <v>0</v>
      </c>
      <c r="M650" s="534"/>
      <c r="N650" s="549">
        <f ca="1">IFERROR(__xludf.DUMMYFUNCTION("IMPORTRANGE(""https://docs.google.com/spreadsheets/d/1IYY_tgx_IHuhSq3AJ5eI5OnqOPBNLWSHKh2a30DoXe8/edit?usp=sharing"",""สุราษฎร์ธานี!M545"")"),0)</f>
        <v>0</v>
      </c>
      <c r="O650" s="548">
        <f t="shared" ca="1" si="132"/>
        <v>0</v>
      </c>
      <c r="P650" s="548"/>
    </row>
    <row r="651" spans="1:16" ht="21.75" customHeight="1" x14ac:dyDescent="0.3">
      <c r="A651" s="525"/>
      <c r="B651" s="526"/>
      <c r="C651" s="526"/>
      <c r="D651" s="526"/>
      <c r="E651" s="526"/>
      <c r="F651" s="598" t="s">
        <v>247</v>
      </c>
      <c r="G651" s="575"/>
      <c r="H651" s="529" t="s">
        <v>122</v>
      </c>
      <c r="I651" s="546">
        <f ca="1">IFERROR(__xludf.DUMMYFUNCTION("IMPORTRANGE(""https://docs.google.com/spreadsheets/d/1IYY_tgx_IHuhSq3AJ5eI5OnqOPBNLWSHKh2a30DoXe8/edit?usp=sharing"",""สุราษฎร์ธานี!I546"")"),0)</f>
        <v>0</v>
      </c>
      <c r="J651" s="547">
        <f ca="1">J657+J660</f>
        <v>0</v>
      </c>
      <c r="K651" s="548">
        <f t="shared" ca="1" si="131"/>
        <v>0</v>
      </c>
      <c r="L651" s="535">
        <f ca="1">IFERROR(__xludf.DUMMYFUNCTION("IMPORTRANGE(""https://docs.google.com/spreadsheets/d/1IYY_tgx_IHuhSq3AJ5eI5OnqOPBNLWSHKh2a30DoXe8/edit?usp=sharing"",""สุราษฎร์ธานี!L546"")"),0)</f>
        <v>0</v>
      </c>
      <c r="M651" s="534"/>
      <c r="N651" s="549">
        <f ca="1">IFERROR(__xludf.DUMMYFUNCTION("IMPORTRANGE(""https://docs.google.com/spreadsheets/d/1IYY_tgx_IHuhSq3AJ5eI5OnqOPBNLWSHKh2a30DoXe8/edit?usp=sharing"",""สุราษฎร์ธานี!M546"")"),0)</f>
        <v>0</v>
      </c>
      <c r="O651" s="548">
        <f t="shared" ca="1" si="132"/>
        <v>0</v>
      </c>
      <c r="P651" s="548"/>
    </row>
    <row r="652" spans="1:16" ht="21.75" customHeight="1" x14ac:dyDescent="0.3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IFERROR(__xludf.DUMMYFUNCTION("IMPORTRANGE(""https://docs.google.com/spreadsheets/d/1IYY_tgx_IHuhSq3AJ5eI5OnqOPBNLWSHKh2a30DoXe8/edit?usp=sharing"",""สุราษฎร์ธานี!J547"")"),0)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3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IFERROR(__xludf.DUMMYFUNCTION("IMPORTRANGE(""https://docs.google.com/spreadsheets/d/1IYY_tgx_IHuhSq3AJ5eI5OnqOPBNLWSHKh2a30DoXe8/edit?usp=sharing"",""สุราษฎร์ธานี!J548"")"),0)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3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3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IFERROR(__xludf.DUMMYFUNCTION("IMPORTRANGE(""https://docs.google.com/spreadsheets/d/1IYY_tgx_IHuhSq3AJ5eI5OnqOPBNLWSHKh2a30DoXe8/edit?usp=sharing"",""สุราษฎร์ธานี!J550"")"),0)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3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IFERROR(__xludf.DUMMYFUNCTION("IMPORTRANGE(""https://docs.google.com/spreadsheets/d/1IYY_tgx_IHuhSq3AJ5eI5OnqOPBNLWSHKh2a30DoXe8/edit?usp=sharing"",""สุราษฎร์ธานี!J551"")"),0)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3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IFERROR(__xludf.DUMMYFUNCTION("IMPORTRANGE(""https://docs.google.com/spreadsheets/d/1IYY_tgx_IHuhSq3AJ5eI5OnqOPBNLWSHKh2a30DoXe8/edit?usp=sharing"",""สุราษฎร์ธานี!J552"")"),0)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3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IFERROR(__xludf.DUMMYFUNCTION("IMPORTRANGE(""https://docs.google.com/spreadsheets/d/1IYY_tgx_IHuhSq3AJ5eI5OnqOPBNLWSHKh2a30DoXe8/edit?usp=sharing"",""สุราษฎร์ธานี!J553"")"),0)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3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IFERROR(__xludf.DUMMYFUNCTION("IMPORTRANGE(""https://docs.google.com/spreadsheets/d/1IYY_tgx_IHuhSq3AJ5eI5OnqOPBNLWSHKh2a30DoXe8/edit?usp=sharing"",""สุราษฎร์ธานี!J554"")"),0)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3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IFERROR(__xludf.DUMMYFUNCTION("IMPORTRANGE(""https://docs.google.com/spreadsheets/d/1IYY_tgx_IHuhSq3AJ5eI5OnqOPBNLWSHKh2a30DoXe8/edit?usp=sharing"",""สุราษฎร์ธานี!J555"")"),0)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3">
      <c r="A661" s="525"/>
      <c r="B661" s="526"/>
      <c r="C661" s="526"/>
      <c r="D661" s="526"/>
      <c r="E661" s="526"/>
      <c r="F661" s="598" t="s">
        <v>252</v>
      </c>
      <c r="G661" s="575"/>
      <c r="H661" s="529" t="s">
        <v>37</v>
      </c>
      <c r="I661" s="550"/>
      <c r="J661" s="547">
        <f ca="1">IFERROR(__xludf.DUMMYFUNCTION("IMPORTRANGE(""https://docs.google.com/spreadsheets/d/1IYY_tgx_IHuhSq3AJ5eI5OnqOPBNLWSHKh2a30DoXe8/edit?usp=sharing"",""สุราษฎร์ธานี!J556"")"),0)</f>
        <v>0</v>
      </c>
      <c r="K661" s="548"/>
      <c r="L661" s="535">
        <f ca="1">IFERROR(__xludf.DUMMYFUNCTION("IMPORTRANGE(""https://docs.google.com/spreadsheets/d/1IYY_tgx_IHuhSq3AJ5eI5OnqOPBNLWSHKh2a30DoXe8/edit?usp=sharing"",""สุราษฎร์ธานี!L556"")"),0)</f>
        <v>0</v>
      </c>
      <c r="M661" s="534"/>
      <c r="N661" s="549">
        <f ca="1">IFERROR(__xludf.DUMMYFUNCTION("IMPORTRANGE(""https://docs.google.com/spreadsheets/d/1IYY_tgx_IHuhSq3AJ5eI5OnqOPBNLWSHKh2a30DoXe8/edit?usp=sharing"",""สุราษฎร์ธานี!M556"")"),0)</f>
        <v>0</v>
      </c>
      <c r="O661" s="548">
        <f ca="1">IF(L661&gt;0,N661*100/L661,0)</f>
        <v>0</v>
      </c>
      <c r="P661" s="548"/>
    </row>
    <row r="662" spans="1:16" ht="21.75" customHeight="1" x14ac:dyDescent="0.3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IFERROR(__xludf.DUMMYFUNCTION("IMPORTRANGE(""https://docs.google.com/spreadsheets/d/1IYY_tgx_IHuhSq3AJ5eI5OnqOPBNLWSHKh2a30DoXe8/edit?usp=sharing"",""สุราษฎร์ธานี!J557"")"),0)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3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IFERROR(__xludf.DUMMYFUNCTION("IMPORTRANGE(""https://docs.google.com/spreadsheets/d/1IYY_tgx_IHuhSq3AJ5eI5OnqOPBNLWSHKh2a30DoXe8/edit?usp=sharing"",""สุราษฎร์ธานี!I558"")"),0)</f>
        <v>0</v>
      </c>
      <c r="J663" s="547">
        <f ca="1">IFERROR(__xludf.DUMMYFUNCTION("IMPORTRANGE(""https://docs.google.com/spreadsheets/d/1IYY_tgx_IHuhSq3AJ5eI5OnqOPBNLWSHKh2a30DoXe8/edit?usp=sharing"",""สุราษฎร์ธานี!J558"")"),0)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3">
      <c r="A664" s="525"/>
      <c r="B664" s="526"/>
      <c r="C664" s="526"/>
      <c r="D664" s="526"/>
      <c r="E664" s="526"/>
      <c r="F664" s="598" t="s">
        <v>253</v>
      </c>
      <c r="G664" s="575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3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IFERROR(__xludf.DUMMYFUNCTION("IMPORTRANGE(""https://docs.google.com/spreadsheets/d/1IYY_tgx_IHuhSq3AJ5eI5OnqOPBNLWSHKh2a30DoXe8/edit?usp=sharing"",""สุราษฎร์ธานี!I560"")"),0)</f>
        <v>0</v>
      </c>
      <c r="J665" s="547">
        <f ca="1">IFERROR(__xludf.DUMMYFUNCTION("IMPORTRANGE(""https://docs.google.com/spreadsheets/d/1IYY_tgx_IHuhSq3AJ5eI5OnqOPBNLWSHKh2a30DoXe8/edit?usp=sharing"",""สุราษฎร์ธานี!J560"")"),0)</f>
        <v>0</v>
      </c>
      <c r="K665" s="548">
        <f ca="1">IF(I665&gt;0,J665*100/I665,0)</f>
        <v>0</v>
      </c>
      <c r="L665" s="535">
        <f ca="1">IFERROR(__xludf.DUMMYFUNCTION("IMPORTRANGE(""https://docs.google.com/spreadsheets/d/1IYY_tgx_IHuhSq3AJ5eI5OnqOPBNLWSHKh2a30DoXe8/edit?usp=sharing"",""สุราษฎร์ธานี!L560"")"),0)</f>
        <v>0</v>
      </c>
      <c r="M665" s="534"/>
      <c r="N665" s="549">
        <f ca="1">IFERROR(__xludf.DUMMYFUNCTION("IMPORTRANGE(""https://docs.google.com/spreadsheets/d/1IYY_tgx_IHuhSq3AJ5eI5OnqOPBNLWSHKh2a30DoXe8/edit?usp=sharing"",""สุราษฎร์ธานี!M560"")"),0)</f>
        <v>0</v>
      </c>
      <c r="O665" s="548">
        <f ca="1">IF(L665&gt;0,N665*100/L665,0)</f>
        <v>0</v>
      </c>
      <c r="P665" s="548"/>
    </row>
    <row r="666" spans="1:16" ht="21.75" customHeight="1" x14ac:dyDescent="0.3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IFERROR(__xludf.DUMMYFUNCTION("IMPORTRANGE(""https://docs.google.com/spreadsheets/d/1IYY_tgx_IHuhSq3AJ5eI5OnqOPBNLWSHKh2a30DoXe8/edit?usp=sharing"",""สุราษฎร์ธานี!J561"")"),0)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3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IFERROR(__xludf.DUMMYFUNCTION("IMPORTRANGE(""https://docs.google.com/spreadsheets/d/1IYY_tgx_IHuhSq3AJ5eI5OnqOPBNLWSHKh2a30DoXe8/edit?usp=sharing"",""สุราษฎร์ธานี!J562"")"),0)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3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IFERROR(__xludf.DUMMYFUNCTION("IMPORTRANGE(""https://docs.google.com/spreadsheets/d/1IYY_tgx_IHuhSq3AJ5eI5OnqOPBNLWSHKh2a30DoXe8/edit?usp=sharing"",""สุราษฎร์ธานี!I563"")"),0)</f>
        <v>0</v>
      </c>
      <c r="J668" s="547">
        <f ca="1">IFERROR(__xludf.DUMMYFUNCTION("IMPORTRANGE(""https://docs.google.com/spreadsheets/d/1IYY_tgx_IHuhSq3AJ5eI5OnqOPBNLWSHKh2a30DoXe8/edit?usp=sharing"",""สุราษฎร์ธานี!J563"")"),0)</f>
        <v>0</v>
      </c>
      <c r="K668" s="548">
        <f ca="1">IF(I668&gt;0,J668*100/I668,0)</f>
        <v>0</v>
      </c>
      <c r="L668" s="535">
        <f ca="1">IFERROR(__xludf.DUMMYFUNCTION("IMPORTRANGE(""https://docs.google.com/spreadsheets/d/1IYY_tgx_IHuhSq3AJ5eI5OnqOPBNLWSHKh2a30DoXe8/edit?usp=sharing"",""สุราษฎร์ธานี!L563"")"),0)</f>
        <v>0</v>
      </c>
      <c r="M668" s="534"/>
      <c r="N668" s="549">
        <f ca="1">IFERROR(__xludf.DUMMYFUNCTION("IMPORTRANGE(""https://docs.google.com/spreadsheets/d/1IYY_tgx_IHuhSq3AJ5eI5OnqOPBNLWSHKh2a30DoXe8/edit?usp=sharing"",""สุราษฎร์ธานี!M563"")"),0)</f>
        <v>0</v>
      </c>
      <c r="O668" s="548">
        <f ca="1">IF(L668&gt;0,N668*100/L668,0)</f>
        <v>0</v>
      </c>
      <c r="P668" s="548"/>
    </row>
    <row r="669" spans="1:16" ht="21.75" customHeight="1" x14ac:dyDescent="0.3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IFERROR(__xludf.DUMMYFUNCTION("IMPORTRANGE(""https://docs.google.com/spreadsheets/d/1IYY_tgx_IHuhSq3AJ5eI5OnqOPBNLWSHKh2a30DoXe8/edit?usp=sharing"",""สุราษฎร์ธานี!J564"")"),0)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3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IFERROR(__xludf.DUMMYFUNCTION("IMPORTRANGE(""https://docs.google.com/spreadsheets/d/1IYY_tgx_IHuhSq3AJ5eI5OnqOPBNLWSHKh2a30DoXe8/edit?usp=sharing"",""สุราษฎร์ธานี!J565"")"),0)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3">
      <c r="A671" s="525"/>
      <c r="B671" s="526"/>
      <c r="C671" s="526"/>
      <c r="D671" s="526"/>
      <c r="E671" s="526"/>
      <c r="F671" s="598" t="s">
        <v>256</v>
      </c>
      <c r="G671" s="575"/>
      <c r="H671" s="529" t="s">
        <v>122</v>
      </c>
      <c r="I671" s="546">
        <f ca="1">IFERROR(__xludf.DUMMYFUNCTION("IMPORTRANGE(""https://docs.google.com/spreadsheets/d/1IYY_tgx_IHuhSq3AJ5eI5OnqOPBNLWSHKh2a30DoXe8/edit?usp=sharing"",""สุราษฎร์ธานี!I566"")"),0)</f>
        <v>0</v>
      </c>
      <c r="J671" s="547">
        <f ca="1">J674+J677</f>
        <v>0</v>
      </c>
      <c r="K671" s="548">
        <f ca="1">IF(I671&gt;0,J671*100/I671,0)</f>
        <v>0</v>
      </c>
      <c r="L671" s="535">
        <f ca="1">IFERROR(__xludf.DUMMYFUNCTION("IMPORTRANGE(""https://docs.google.com/spreadsheets/d/1IYY_tgx_IHuhSq3AJ5eI5OnqOPBNLWSHKh2a30DoXe8/edit?usp=sharing"",""สุราษฎร์ธานี!L566"")"),0)</f>
        <v>0</v>
      </c>
      <c r="M671" s="534"/>
      <c r="N671" s="549">
        <f ca="1">IFERROR(__xludf.DUMMYFUNCTION("IMPORTRANGE(""https://docs.google.com/spreadsheets/d/1IYY_tgx_IHuhSq3AJ5eI5OnqOPBNLWSHKh2a30DoXe8/edit?usp=sharing"",""สุราษฎร์ธานี!M566"")"),0)</f>
        <v>0</v>
      </c>
      <c r="O671" s="548">
        <f ca="1">IF(L671&gt;0,N671*100/L671,0)</f>
        <v>0</v>
      </c>
      <c r="P671" s="548"/>
    </row>
    <row r="672" spans="1:16" ht="21.75" customHeight="1" x14ac:dyDescent="0.3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IFERROR(__xludf.DUMMYFUNCTION("IMPORTRANGE(""https://docs.google.com/spreadsheets/d/1IYY_tgx_IHuhSq3AJ5eI5OnqOPBNLWSHKh2a30DoXe8/edit?usp=sharing"",""สุราษฎร์ธานี!J567"")"),0)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3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IFERROR(__xludf.DUMMYFUNCTION("IMPORTRANGE(""https://docs.google.com/spreadsheets/d/1IYY_tgx_IHuhSq3AJ5eI5OnqOPBNLWSHKh2a30DoXe8/edit?usp=sharing"",""สุราษฎร์ธานี!J568"")"),0)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3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IFERROR(__xludf.DUMMYFUNCTION("IMPORTRANGE(""https://docs.google.com/spreadsheets/d/1IYY_tgx_IHuhSq3AJ5eI5OnqOPBNLWSHKh2a30DoXe8/edit?usp=sharing"",""สุราษฎร์ธานี!J569"")"),0)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3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IFERROR(__xludf.DUMMYFUNCTION("IMPORTRANGE(""https://docs.google.com/spreadsheets/d/1IYY_tgx_IHuhSq3AJ5eI5OnqOPBNLWSHKh2a30DoXe8/edit?usp=sharing"",""สุราษฎร์ธานี!J570"")"),0)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3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IFERROR(__xludf.DUMMYFUNCTION("IMPORTRANGE(""https://docs.google.com/spreadsheets/d/1IYY_tgx_IHuhSq3AJ5eI5OnqOPBNLWSHKh2a30DoXe8/edit?usp=sharing"",""สุราษฎร์ธานี!J571"")"),0)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3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IFERROR(__xludf.DUMMYFUNCTION("IMPORTRANGE(""https://docs.google.com/spreadsheets/d/1IYY_tgx_IHuhSq3AJ5eI5OnqOPBNLWSHKh2a30DoXe8/edit?usp=sharing"",""สุราษฎร์ธานี!J572"")"),0)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2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2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2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2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2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2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2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2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2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2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2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2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2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2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2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2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2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2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2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2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2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2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2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2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2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2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2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2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2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2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2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2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2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2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2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2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2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2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2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2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2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2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2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2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2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2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2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2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2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2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2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2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2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2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2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2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2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2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2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2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2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2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2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2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2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2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2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2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2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2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2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2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2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2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2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2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2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2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2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2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2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2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2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2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2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2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2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2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2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2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2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2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2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2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2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2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2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2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2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2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2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2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2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2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2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2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2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2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2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2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2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2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2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2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2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2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2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2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2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2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2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2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2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2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2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2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2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2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2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2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2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2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2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2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2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2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2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2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2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2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2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2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2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2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2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2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2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2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2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2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2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2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2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2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2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2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2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2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2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2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2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2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2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2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2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2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2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2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2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2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2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2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2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2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2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2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2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2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2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2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2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2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2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2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2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2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2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2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2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2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2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2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2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2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2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2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2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2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2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2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2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2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2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2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2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2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2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2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2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2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2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2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2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2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2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2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2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2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2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2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2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2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2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2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2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2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2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2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2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2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2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2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2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2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2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2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2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2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2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2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2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2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2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2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2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2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2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2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2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2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2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2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2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2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2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2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2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2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2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2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2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2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2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2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2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2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2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2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2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2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2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2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2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2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2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2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2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2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2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2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2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2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2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2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2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2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2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2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2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2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2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2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2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2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2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2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2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2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2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2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2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2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2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2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2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2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2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2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2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2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2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2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2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2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2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2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2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2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2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2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2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2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2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2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2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2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2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2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2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2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2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2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2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2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2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2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2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2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2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2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2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2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2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2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2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2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2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2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2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2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2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2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2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2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2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2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2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2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2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2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2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2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2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2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2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2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2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2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2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2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2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2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2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2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2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2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2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2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2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2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2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2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2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2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2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2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2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2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2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2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2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2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2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2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2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2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2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2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2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2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2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2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2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2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2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2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2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2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2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2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2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2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2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2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2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2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2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2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2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2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2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2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2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2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2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2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2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2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2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2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2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2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2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2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2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2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2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2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2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2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2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2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2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2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2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2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2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2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2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2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2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2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2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2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2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2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2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2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2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2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2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2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2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2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2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2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19685039370078741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32" max="16383" man="1"/>
    <brk id="626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86" t="s">
        <v>0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  <c r="N1" s="586"/>
      <c r="O1" s="586"/>
      <c r="P1" s="586"/>
    </row>
    <row r="2" spans="1:16" ht="18" customHeight="1" x14ac:dyDescent="0.25">
      <c r="A2" s="586" t="s">
        <v>260</v>
      </c>
      <c r="B2" s="586"/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86"/>
      <c r="P2" s="586"/>
    </row>
    <row r="3" spans="1:16" ht="18" customHeight="1" x14ac:dyDescent="0.25">
      <c r="A3" s="586" t="s">
        <v>290</v>
      </c>
      <c r="B3" s="586"/>
      <c r="C3" s="586"/>
      <c r="D3" s="586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  <c r="P3" s="586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2" t="s">
        <v>2</v>
      </c>
      <c r="B5" s="593"/>
      <c r="C5" s="593"/>
      <c r="D5" s="593"/>
      <c r="E5" s="593"/>
      <c r="F5" s="593"/>
      <c r="G5" s="594"/>
      <c r="H5" s="587" t="s">
        <v>3</v>
      </c>
      <c r="I5" s="589" t="s">
        <v>4</v>
      </c>
      <c r="J5" s="580"/>
      <c r="K5" s="581"/>
      <c r="L5" s="590" t="s">
        <v>5</v>
      </c>
      <c r="M5" s="581"/>
      <c r="N5" s="591" t="s">
        <v>6</v>
      </c>
      <c r="O5" s="580"/>
      <c r="P5" s="581"/>
    </row>
    <row r="6" spans="1:16" ht="21.75" customHeight="1" x14ac:dyDescent="0.25">
      <c r="A6" s="595"/>
      <c r="B6" s="596"/>
      <c r="C6" s="596"/>
      <c r="D6" s="596"/>
      <c r="E6" s="596"/>
      <c r="F6" s="596"/>
      <c r="G6" s="597"/>
      <c r="H6" s="58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5" t="s">
        <v>15</v>
      </c>
      <c r="B7" s="580"/>
      <c r="C7" s="580"/>
      <c r="D7" s="580"/>
      <c r="E7" s="580"/>
      <c r="F7" s="580"/>
      <c r="G7" s="58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4" t="s">
        <v>17</v>
      </c>
      <c r="E8" s="573"/>
      <c r="F8" s="573"/>
      <c r="G8" s="573"/>
      <c r="H8" s="20" t="s">
        <v>12</v>
      </c>
      <c r="I8" s="21"/>
      <c r="J8" s="21"/>
      <c r="K8" s="22"/>
      <c r="L8" s="23">
        <f t="shared" ref="L8:N8" ca="1" si="0">L9+L10</f>
        <v>10169050</v>
      </c>
      <c r="M8" s="23">
        <f t="shared" ca="1" si="0"/>
        <v>9100817</v>
      </c>
      <c r="N8" s="23">
        <f t="shared" ca="1" si="0"/>
        <v>5751939.0300000003</v>
      </c>
      <c r="O8" s="22">
        <f t="shared" ref="O8:O16" ca="1" si="1">IF(L8&gt;0,N8*100/L8,0)</f>
        <v>56.563189580147608</v>
      </c>
      <c r="P8" s="22">
        <f t="shared" ref="P8:P16" ca="1" si="2">IF(M8&gt;0,N8*100/M8,0)</f>
        <v>63.202446879219742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10169050</v>
      </c>
      <c r="M10" s="30">
        <f t="shared" ca="1" si="4"/>
        <v>9100817</v>
      </c>
      <c r="N10" s="30">
        <f t="shared" ca="1" si="4"/>
        <v>5751939.0300000003</v>
      </c>
      <c r="O10" s="29">
        <f t="shared" ca="1" si="1"/>
        <v>56.563189580147608</v>
      </c>
      <c r="P10" s="29">
        <f t="shared" ca="1" si="2"/>
        <v>63.202446879219742</v>
      </c>
    </row>
    <row r="11" spans="1:16" ht="21.75" customHeight="1" x14ac:dyDescent="0.3">
      <c r="A11" s="31"/>
      <c r="B11" s="32"/>
      <c r="C11" s="33" t="s">
        <v>16</v>
      </c>
      <c r="D11" s="574" t="s">
        <v>20</v>
      </c>
      <c r="E11" s="575"/>
      <c r="F11" s="57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4804480</v>
      </c>
      <c r="M12" s="38">
        <f t="shared" ca="1" si="6"/>
        <v>3736247</v>
      </c>
      <c r="N12" s="38">
        <f t="shared" ca="1" si="6"/>
        <v>3887369.0300000003</v>
      </c>
      <c r="O12" s="38">
        <f t="shared" ca="1" si="1"/>
        <v>80.91133754329293</v>
      </c>
      <c r="P12" s="38">
        <f t="shared" ca="1" si="2"/>
        <v>104.04475480341637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1858464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2946016</v>
      </c>
      <c r="M14" s="38">
        <f t="shared" si="8"/>
        <v>0</v>
      </c>
      <c r="N14" s="38">
        <f t="shared" ca="1" si="8"/>
        <v>819498.36</v>
      </c>
      <c r="O14" s="41">
        <f t="shared" ca="1" si="1"/>
        <v>27.817172751268153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4" t="s">
        <v>23</v>
      </c>
      <c r="E15" s="57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5364570</v>
      </c>
      <c r="M16" s="38">
        <f t="shared" ca="1" si="10"/>
        <v>5364570</v>
      </c>
      <c r="N16" s="38">
        <f t="shared" ca="1" si="10"/>
        <v>1864570</v>
      </c>
      <c r="O16" s="50">
        <f t="shared" ca="1" si="1"/>
        <v>34.75711939633559</v>
      </c>
      <c r="P16" s="50">
        <f t="shared" ca="1" si="2"/>
        <v>34.75711939633559</v>
      </c>
    </row>
    <row r="17" spans="1:16" ht="21.75" customHeight="1" x14ac:dyDescent="0.3">
      <c r="A17" s="585" t="s">
        <v>24</v>
      </c>
      <c r="B17" s="580"/>
      <c r="C17" s="580"/>
      <c r="D17" s="580"/>
      <c r="E17" s="580"/>
      <c r="F17" s="580"/>
      <c r="G17" s="58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4" t="s">
        <v>17</v>
      </c>
      <c r="E18" s="573"/>
      <c r="F18" s="573"/>
      <c r="G18" s="573"/>
      <c r="H18" s="20" t="s">
        <v>12</v>
      </c>
      <c r="I18" s="21"/>
      <c r="J18" s="21"/>
      <c r="K18" s="22"/>
      <c r="L18" s="23">
        <f t="shared" ref="L18:N18" ca="1" si="11">L19+L20</f>
        <v>8940317</v>
      </c>
      <c r="M18" s="23">
        <f t="shared" ca="1" si="11"/>
        <v>9100817</v>
      </c>
      <c r="N18" s="23">
        <f t="shared" ca="1" si="11"/>
        <v>4932440.67</v>
      </c>
      <c r="O18" s="22">
        <f t="shared" ref="O18:O20" ca="1" si="12">IF(L18&gt;0,N18*100/L18,0)</f>
        <v>55.17075815096937</v>
      </c>
      <c r="P18" s="22">
        <f t="shared" ref="P18:P26" ca="1" si="13">IF(M18&gt;0,N18*100/M18,0)</f>
        <v>54.197778836779158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8940317</v>
      </c>
      <c r="M20" s="30">
        <f t="shared" ca="1" si="15"/>
        <v>9100817</v>
      </c>
      <c r="N20" s="30">
        <f t="shared" ca="1" si="15"/>
        <v>4932440.67</v>
      </c>
      <c r="O20" s="29">
        <f t="shared" ca="1" si="12"/>
        <v>55.17075815096937</v>
      </c>
      <c r="P20" s="29">
        <f t="shared" ca="1" si="13"/>
        <v>54.197778836779158</v>
      </c>
    </row>
    <row r="21" spans="1:16" ht="21.75" customHeight="1" x14ac:dyDescent="0.3">
      <c r="A21" s="31"/>
      <c r="B21" s="32"/>
      <c r="C21" s="33" t="s">
        <v>16</v>
      </c>
      <c r="D21" s="574" t="s">
        <v>20</v>
      </c>
      <c r="E21" s="575"/>
      <c r="F21" s="575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3575747</v>
      </c>
      <c r="M22" s="42">
        <f t="shared" ca="1" si="18"/>
        <v>3736247</v>
      </c>
      <c r="N22" s="41">
        <f t="shared" ca="1" si="18"/>
        <v>3067870.6700000004</v>
      </c>
      <c r="O22" s="41">
        <f t="shared" ca="1" si="17"/>
        <v>85.796636898527794</v>
      </c>
      <c r="P22" s="41">
        <f t="shared" ca="1" si="13"/>
        <v>82.11102397673389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1858464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1717283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4" t="s">
        <v>23</v>
      </c>
      <c r="E25" s="575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5364570</v>
      </c>
      <c r="M26" s="50">
        <f t="shared" ca="1" si="22"/>
        <v>5364570</v>
      </c>
      <c r="N26" s="50">
        <f t="shared" ca="1" si="22"/>
        <v>1864570</v>
      </c>
      <c r="O26" s="50">
        <f t="shared" ca="1" si="17"/>
        <v>34.75711939633559</v>
      </c>
      <c r="P26" s="50">
        <f t="shared" ca="1" si="13"/>
        <v>34.75711939633559</v>
      </c>
    </row>
    <row r="27" spans="1:16" ht="21.75" customHeight="1" x14ac:dyDescent="0.3">
      <c r="A27" s="585" t="s">
        <v>25</v>
      </c>
      <c r="B27" s="580"/>
      <c r="C27" s="580"/>
      <c r="D27" s="580"/>
      <c r="E27" s="580"/>
      <c r="F27" s="580"/>
      <c r="G27" s="58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4" t="s">
        <v>17</v>
      </c>
      <c r="E28" s="573"/>
      <c r="F28" s="573"/>
      <c r="G28" s="573"/>
      <c r="H28" s="20" t="s">
        <v>12</v>
      </c>
      <c r="I28" s="21"/>
      <c r="J28" s="21"/>
      <c r="K28" s="22"/>
      <c r="L28" s="23">
        <f t="shared" ref="L28:N28" ca="1" si="23">L29+L30</f>
        <v>1228733</v>
      </c>
      <c r="M28" s="23">
        <f t="shared" si="23"/>
        <v>0</v>
      </c>
      <c r="N28" s="23">
        <f t="shared" ca="1" si="23"/>
        <v>819498.36</v>
      </c>
      <c r="O28" s="22">
        <f t="shared" ref="O28:O30" ca="1" si="24">IF(L28&gt;0,N28*100/L28,0)</f>
        <v>66.694583770436708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1228733</v>
      </c>
      <c r="M30" s="30">
        <f t="shared" si="27"/>
        <v>0</v>
      </c>
      <c r="N30" s="30">
        <f t="shared" ca="1" si="27"/>
        <v>819498.36</v>
      </c>
      <c r="O30" s="29">
        <f t="shared" ca="1" si="24"/>
        <v>66.694583770436708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4" t="s">
        <v>20</v>
      </c>
      <c r="E31" s="575"/>
      <c r="F31" s="575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1228733</v>
      </c>
      <c r="M32" s="41">
        <f t="shared" si="30"/>
        <v>0</v>
      </c>
      <c r="N32" s="41">
        <f t="shared" ca="1" si="30"/>
        <v>819498.36</v>
      </c>
      <c r="O32" s="41">
        <f t="shared" ca="1" si="29"/>
        <v>66.694583770436708</v>
      </c>
      <c r="P32" s="41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1228733</v>
      </c>
      <c r="M34" s="41">
        <f t="shared" si="32"/>
        <v>0</v>
      </c>
      <c r="N34" s="41">
        <f t="shared" ca="1" si="32"/>
        <v>819498.36</v>
      </c>
      <c r="O34" s="41">
        <f t="shared" ca="1" si="29"/>
        <v>66.694583770436708</v>
      </c>
      <c r="P34" s="41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4" t="s">
        <v>23</v>
      </c>
      <c r="E35" s="575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8940317</v>
      </c>
      <c r="M37" s="55">
        <f t="shared" ca="1" si="33"/>
        <v>9100817</v>
      </c>
      <c r="N37" s="55">
        <f t="shared" ca="1" si="33"/>
        <v>4932440.67</v>
      </c>
      <c r="O37" s="56">
        <f t="shared" ca="1" si="29"/>
        <v>55.17075815096937</v>
      </c>
      <c r="P37" s="56">
        <f t="shared" ca="1" si="25"/>
        <v>54.197778836779158</v>
      </c>
    </row>
    <row r="38" spans="1:16" ht="21.75" customHeight="1" x14ac:dyDescent="0.3">
      <c r="A38" s="579" t="s">
        <v>27</v>
      </c>
      <c r="B38" s="580"/>
      <c r="C38" s="580"/>
      <c r="D38" s="580"/>
      <c r="E38" s="580"/>
      <c r="F38" s="580"/>
      <c r="G38" s="581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82" t="s">
        <v>28</v>
      </c>
      <c r="C39" s="573"/>
      <c r="D39" s="573"/>
      <c r="E39" s="573"/>
      <c r="F39" s="573"/>
      <c r="G39" s="573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83" t="s">
        <v>17</v>
      </c>
      <c r="E41" s="575"/>
      <c r="F41" s="575"/>
      <c r="G41" s="575"/>
      <c r="H41" s="76" t="s">
        <v>12</v>
      </c>
      <c r="I41" s="77"/>
      <c r="J41" s="77"/>
      <c r="K41" s="78"/>
      <c r="L41" s="79">
        <f t="shared" ref="L41:N41" ca="1" si="34">L42+L43</f>
        <v>683800</v>
      </c>
      <c r="M41" s="79">
        <f t="shared" ca="1" si="34"/>
        <v>683800</v>
      </c>
      <c r="N41" s="79">
        <f t="shared" ca="1" si="34"/>
        <v>587662.42000000004</v>
      </c>
      <c r="O41" s="78">
        <f t="shared" ref="O41:O43" ca="1" si="35">IF(L41&gt;0,N41*100/L41,0)</f>
        <v>85.940687335478216</v>
      </c>
      <c r="P41" s="78">
        <f t="shared" ref="P41:P43" ca="1" si="36">IF(M41&gt;0,N41*100/M41,0)</f>
        <v>85.940687335478216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683800</v>
      </c>
      <c r="M43" s="79">
        <f t="shared" ca="1" si="38"/>
        <v>683800</v>
      </c>
      <c r="N43" s="79">
        <f t="shared" ca="1" si="38"/>
        <v>587662.42000000004</v>
      </c>
      <c r="O43" s="78">
        <f t="shared" ca="1" si="35"/>
        <v>85.940687335478216</v>
      </c>
      <c r="P43" s="78">
        <f t="shared" ca="1" si="36"/>
        <v>85.940687335478216</v>
      </c>
    </row>
    <row r="44" spans="1:16" ht="21.75" customHeight="1" x14ac:dyDescent="0.3">
      <c r="A44" s="80"/>
      <c r="B44" s="81"/>
      <c r="C44" s="82" t="s">
        <v>16</v>
      </c>
      <c r="D44" s="576" t="s">
        <v>20</v>
      </c>
      <c r="E44" s="575"/>
      <c r="F44" s="575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683800</v>
      </c>
      <c r="M45" s="91">
        <f ca="1">IFERROR(__xludf.DUMMYFUNCTION("IMPORTRANGE(""https://docs.google.com/spreadsheets/d/1Yj_ptqi66GCucihVvJfMjLAmec39IyEx_6qawtMGysU/edit?usp=sharing"",""สบก!Q81"")"),683800)</f>
        <v>683800</v>
      </c>
      <c r="N45" s="91">
        <f ca="1">IFERROR(__xludf.DUMMYFUNCTION("IMPORTRANGE(""https://docs.google.com/spreadsheets/d/1Yj_ptqi66GCucihVvJfMjLAmec39IyEx_6qawtMGysU/edit?usp=sharing"",""สบก!R81"")"),587662.42)</f>
        <v>587662.42000000004</v>
      </c>
      <c r="O45" s="92">
        <f ca="1">IF(L45&gt;0,N45*100/L45,0)</f>
        <v>85.940687335478216</v>
      </c>
      <c r="P45" s="92">
        <f ca="1">IF(M45&gt;0,N45*100/M45,0)</f>
        <v>85.940687335478216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IFERROR(__xludf.DUMMYFUNCTION("IMPORTRANGE(""https://docs.google.com/spreadsheets/d/1Yj_ptqi66GCucihVvJfMjLAmec39IyEx_6qawtMGysU/edit?usp=sharing"",""สบก!M81"")"),683800)</f>
        <v>683800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IFERROR(__xludf.DUMMYFUNCTION("IMPORTRANGE(""https://docs.google.com/spreadsheets/d/1Yj_ptqi66GCucihVvJfMjLAmec39IyEx_6qawtMGysU/edit?usp=sharing"",""สบก!N81"")"),0)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6" t="s">
        <v>23</v>
      </c>
      <c r="E48" s="57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IFERROR(__xludf.DUMMYFUNCTION("IMPORTRANGE(""https://docs.google.com/spreadsheets/d/1Yj_ptqi66GCucihVvJfMjLAmec39IyEx_6qawtMGysU/edit?usp=sharing"",""สบก!O81"")"),0)</f>
        <v>0</v>
      </c>
      <c r="M49" s="101"/>
      <c r="N49" s="91">
        <f ca="1">IFERROR(__xludf.DUMMYFUNCTION("IMPORTRANGE(""https://docs.google.com/spreadsheets/d/1Yj_ptqi66GCucihVvJfMjLAmec39IyEx_6qawtMGysU/edit?usp=sharing"",""สบก!S81"")"),0)</f>
        <v>0</v>
      </c>
      <c r="O49" s="101">
        <f ca="1">IF(L49&gt;0,N49*100/L49,0)</f>
        <v>0</v>
      </c>
      <c r="P49" s="101"/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577" t="s">
        <v>32</v>
      </c>
      <c r="C52" s="575"/>
      <c r="D52" s="575"/>
      <c r="E52" s="575"/>
      <c r="F52" s="575"/>
      <c r="G52" s="575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578" t="s">
        <v>17</v>
      </c>
      <c r="E53" s="575"/>
      <c r="F53" s="575"/>
      <c r="G53" s="575"/>
      <c r="H53" s="122" t="s">
        <v>12</v>
      </c>
      <c r="I53" s="123"/>
      <c r="J53" s="123"/>
      <c r="K53" s="124"/>
      <c r="L53" s="125">
        <f t="shared" ref="L53:N53" ca="1" si="39">L54+L55</f>
        <v>548464</v>
      </c>
      <c r="M53" s="125">
        <f t="shared" ca="1" si="39"/>
        <v>548464</v>
      </c>
      <c r="N53" s="125">
        <f t="shared" ca="1" si="39"/>
        <v>503042.3</v>
      </c>
      <c r="O53" s="124">
        <f t="shared" ref="O53:O55" ca="1" si="40">IF(L53&gt;0,N53*100/L53,0)</f>
        <v>91.718380787070799</v>
      </c>
      <c r="P53" s="124">
        <f t="shared" ref="P53:P55" ca="1" si="41">IF(M53&gt;0,N53*100/M53,0)</f>
        <v>91.718380787070799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548464</v>
      </c>
      <c r="M55" s="125">
        <f t="shared" ca="1" si="43"/>
        <v>548464</v>
      </c>
      <c r="N55" s="125">
        <f t="shared" ca="1" si="43"/>
        <v>503042.3</v>
      </c>
      <c r="O55" s="124">
        <f t="shared" ca="1" si="40"/>
        <v>91.718380787070799</v>
      </c>
      <c r="P55" s="124">
        <f t="shared" ca="1" si="41"/>
        <v>91.718380787070799</v>
      </c>
    </row>
    <row r="56" spans="1:16" ht="21.75" customHeight="1" x14ac:dyDescent="0.3">
      <c r="A56" s="80"/>
      <c r="B56" s="81"/>
      <c r="C56" s="82" t="s">
        <v>16</v>
      </c>
      <c r="D56" s="576" t="s">
        <v>20</v>
      </c>
      <c r="E56" s="575"/>
      <c r="F56" s="575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548464</v>
      </c>
      <c r="M57" s="91">
        <f ca="1">IFERROR(__xludf.DUMMYFUNCTION("IMPORTRANGE(""https://docs.google.com/spreadsheets/d/1Yj_ptqi66GCucihVvJfMjLAmec39IyEx_6qawtMGysU/edit?usp=sharing"",""สบก!Z81"")"),548464)</f>
        <v>548464</v>
      </c>
      <c r="N57" s="91">
        <f ca="1">IFERROR(__xludf.DUMMYFUNCTION("IMPORTRANGE(""https://docs.google.com/spreadsheets/d/1Yj_ptqi66GCucihVvJfMjLAmec39IyEx_6qawtMGysU/edit?usp=sharing"",""สบก!AA81"")"),503042.3)</f>
        <v>503042.3</v>
      </c>
      <c r="O57" s="92">
        <f ca="1">IF(L57&gt;0,N57*100/L57,0)</f>
        <v>91.718380787070799</v>
      </c>
      <c r="P57" s="92">
        <f ca="1">IF(M57&gt;0,N57*100/M57,0)</f>
        <v>91.718380787070799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IFERROR(__xludf.DUMMYFUNCTION("IMPORTRANGE(""https://docs.google.com/spreadsheets/d/1Yj_ptqi66GCucihVvJfMjLAmec39IyEx_6qawtMGysU/edit?usp=sharing"",""สบก!V81"")"),548464)</f>
        <v>548464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IFERROR(__xludf.DUMMYFUNCTION("IMPORTRANGE(""https://docs.google.com/spreadsheets/d/1Yj_ptqi66GCucihVvJfMjLAmec39IyEx_6qawtMGysU/edit?usp=sharing"",""สบก!W81"")"),0)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6" t="s">
        <v>23</v>
      </c>
      <c r="E60" s="57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IFERROR(__xludf.DUMMYFUNCTION("IMPORTRANGE(""https://docs.google.com/spreadsheets/d/1Yj_ptqi66GCucihVvJfMjLAmec39IyEx_6qawtMGysU/edit?usp=sharing"",""สบก!X81"")"),0)</f>
        <v>0</v>
      </c>
      <c r="M61" s="101"/>
      <c r="N61" s="91">
        <f ca="1">IFERROR(__xludf.DUMMYFUNCTION("IMPORTRANGE(""https://docs.google.com/spreadsheets/d/1Yj_ptqi66GCucihVvJfMjLAmec39IyEx_6qawtMGysU/edit?usp=sharing"",""สบก!AB81"")"),0)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IFERROR(__xludf.DUMMYFUNCTION("IMPORTRANGE(""https://docs.google.com/spreadsheets/d/1IYY_tgx_IHuhSq3AJ5eI5OnqOPBNLWSHKh2a30DoXe8/edit?usp=sharing"",""กระบี่!I9"")"),1)</f>
        <v>1</v>
      </c>
      <c r="J64" s="146">
        <f ca="1">IFERROR(__xludf.DUMMYFUNCTION("IMPORTRANGE(""https://docs.google.com/spreadsheets/d/1IYY_tgx_IHuhSq3AJ5eI5OnqOPBNLWSHKh2a30DoXe8/edit?usp=sharing"",""กระบี่!J9"")"),1)</f>
        <v>1</v>
      </c>
      <c r="K64" s="147">
        <f t="shared" ref="K64:K65" ca="1" si="44">IF(I64&gt;0,J64*100/I64,0)</f>
        <v>100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IFERROR(__xludf.DUMMYFUNCTION("IMPORTRANGE(""https://docs.google.com/spreadsheets/d/1IYY_tgx_IHuhSq3AJ5eI5OnqOPBNLWSHKh2a30DoXe8/edit?usp=sharing"",""กระบี่!I10"")"),30)</f>
        <v>30</v>
      </c>
      <c r="J65" s="146">
        <f ca="1">IFERROR(__xludf.DUMMYFUNCTION("IMPORTRANGE(""https://docs.google.com/spreadsheets/d/1IYY_tgx_IHuhSq3AJ5eI5OnqOPBNLWSHKh2a30DoXe8/edit?usp=sharing"",""กระบี่!J10"")"),30)</f>
        <v>30</v>
      </c>
      <c r="K65" s="147">
        <f t="shared" ca="1" si="44"/>
        <v>100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2" t="s">
        <v>17</v>
      </c>
      <c r="E66" s="573"/>
      <c r="F66" s="573"/>
      <c r="G66" s="573"/>
      <c r="H66" s="153" t="s">
        <v>12</v>
      </c>
      <c r="I66" s="154"/>
      <c r="J66" s="154"/>
      <c r="K66" s="155"/>
      <c r="L66" s="156">
        <f t="shared" ref="L66:N66" ca="1" si="45">L67+L68</f>
        <v>706020</v>
      </c>
      <c r="M66" s="156">
        <f t="shared" ca="1" si="45"/>
        <v>706020</v>
      </c>
      <c r="N66" s="156">
        <f t="shared" ca="1" si="45"/>
        <v>610833.09</v>
      </c>
      <c r="O66" s="155">
        <f t="shared" ref="O66:O68" ca="1" si="46">IF(L66&gt;0,N66*100/L66,0)</f>
        <v>86.517816775728733</v>
      </c>
      <c r="P66" s="155">
        <f t="shared" ref="P66:P68" ca="1" si="47">IF(M66&gt;0,N66*100/M66,0)</f>
        <v>86.517816775728733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706020</v>
      </c>
      <c r="M68" s="161">
        <f t="shared" ca="1" si="49"/>
        <v>706020</v>
      </c>
      <c r="N68" s="161">
        <f t="shared" ca="1" si="49"/>
        <v>610833.09</v>
      </c>
      <c r="O68" s="160">
        <f t="shared" ca="1" si="46"/>
        <v>86.517816775728733</v>
      </c>
      <c r="P68" s="160">
        <f t="shared" ca="1" si="47"/>
        <v>86.517816775728733</v>
      </c>
    </row>
    <row r="69" spans="1:16" ht="21.75" customHeight="1" x14ac:dyDescent="0.3">
      <c r="A69" s="162"/>
      <c r="B69" s="163"/>
      <c r="C69" s="163" t="s">
        <v>16</v>
      </c>
      <c r="D69" s="574" t="s">
        <v>20</v>
      </c>
      <c r="E69" s="575"/>
      <c r="F69" s="575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706020</v>
      </c>
      <c r="M70" s="173">
        <f ca="1">IFERROR(__xludf.DUMMYFUNCTION("IMPORTRANGE(""https://docs.google.com/spreadsheets/d/1Yj_ptqi66GCucihVvJfMjLAmec39IyEx_6qawtMGysU/edit?usp=sharing"",""สบก!AI81"")"),706020)</f>
        <v>706020</v>
      </c>
      <c r="N70" s="174">
        <f ca="1">IFERROR(__xludf.DUMMYFUNCTION("IMPORTRANGE(""https://docs.google.com/spreadsheets/d/1Yj_ptqi66GCucihVvJfMjLAmec39IyEx_6qawtMGysU/edit?usp=sharing"",""สบก!AJ81"")"),610833.09)</f>
        <v>610833.09</v>
      </c>
      <c r="O70" s="175">
        <f ca="1">IF(L70&gt;0,N70*100/L70,0)</f>
        <v>86.517816775728733</v>
      </c>
      <c r="P70" s="175">
        <f ca="1">IF(M70&gt;0,N70*100/M70,0)</f>
        <v>86.517816775728733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IFERROR(__xludf.DUMMYFUNCTION("IMPORTRANGE(""https://docs.google.com/spreadsheets/d/1Yj_ptqi66GCucihVvJfMjLAmec39IyEx_6qawtMGysU/edit?usp=sharing"",""สบก!AE81"")"),320200)</f>
        <v>320200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IFERROR(__xludf.DUMMYFUNCTION("IMPORTRANGE(""https://docs.google.com/spreadsheets/d/1Yj_ptqi66GCucihVvJfMjLAmec39IyEx_6qawtMGysU/edit?usp=sharing"",""สบก!AF81"")"),385820)</f>
        <v>385820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6" t="s">
        <v>23</v>
      </c>
      <c r="E73" s="575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IFERROR(__xludf.DUMMYFUNCTION("IMPORTRANGE(""https://docs.google.com/spreadsheets/d/1Yj_ptqi66GCucihVvJfMjLAmec39IyEx_6qawtMGysU/edit?usp=sharing"",""สบก!AG81"")"),0)</f>
        <v>0</v>
      </c>
      <c r="M74" s="101"/>
      <c r="N74" s="91">
        <f ca="1">IFERROR(__xludf.DUMMYFUNCTION("IMPORTRANGE(""https://docs.google.com/spreadsheets/d/1Yj_ptqi66GCucihVvJfMjLAmec39IyEx_6qawtMGysU/edit?usp=sharing"",""สบก!AK81"")"),0)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IFERROR(__xludf.DUMMYFUNCTION("IMPORTRANGE(""https://docs.google.com/spreadsheets/d/1IYY_tgx_IHuhSq3AJ5eI5OnqOPBNLWSHKh2a30DoXe8/edit?usp=sharing"",""กระบี่!J16"")"),0)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IFERROR(__xludf.DUMMYFUNCTION("IMPORTRANGE(""https://docs.google.com/spreadsheets/d/1IYY_tgx_IHuhSq3AJ5eI5OnqOPBNLWSHKh2a30DoXe8/edit?usp=sharing"",""กระบี่!J17"")"),1)</f>
        <v>1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IFERROR(__xludf.DUMMYFUNCTION("IMPORTRANGE(""https://docs.google.com/spreadsheets/d/1IYY_tgx_IHuhSq3AJ5eI5OnqOPBNLWSHKh2a30DoXe8/edit?usp=sharing"",""กระบี่!J18"")"),1)</f>
        <v>1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IFERROR(__xludf.DUMMYFUNCTION("IMPORTRANGE(""https://docs.google.com/spreadsheets/d/1IYY_tgx_IHuhSq3AJ5eI5OnqOPBNLWSHKh2a30DoXe8/edit?usp=sharing"",""กระบี่!J19"")"),1)</f>
        <v>1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IFERROR(__xludf.DUMMYFUNCTION("IMPORTRANGE(""https://docs.google.com/spreadsheets/d/1IYY_tgx_IHuhSq3AJ5eI5OnqOPBNLWSHKh2a30DoXe8/edit?usp=sharing"",""กระบี่!I20"")"),1)</f>
        <v>1</v>
      </c>
      <c r="J80" s="207">
        <f ca="1">IFERROR(__xludf.DUMMYFUNCTION("IMPORTRANGE(""https://docs.google.com/spreadsheets/d/1IYY_tgx_IHuhSq3AJ5eI5OnqOPBNLWSHKh2a30DoXe8/edit?usp=sharing"",""กระบี่!J20"")"),1)</f>
        <v>1</v>
      </c>
      <c r="K80" s="208">
        <f t="shared" ref="K80:K88" ca="1" si="50">IF(I80&gt;0,J80*100/I80,0)</f>
        <v>100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IFERROR(__xludf.DUMMYFUNCTION("IMPORTRANGE(""https://docs.google.com/spreadsheets/d/1IYY_tgx_IHuhSq3AJ5eI5OnqOPBNLWSHKh2a30DoXe8/edit?usp=sharing"",""กระบี่!I21"")"),30)</f>
        <v>30</v>
      </c>
      <c r="J81" s="207">
        <f ca="1">IFERROR(__xludf.DUMMYFUNCTION("IMPORTRANGE(""https://docs.google.com/spreadsheets/d/1IYY_tgx_IHuhSq3AJ5eI5OnqOPBNLWSHKh2a30DoXe8/edit?usp=sharing"",""กระบี่!J21"")"),30)</f>
        <v>30</v>
      </c>
      <c r="K81" s="208">
        <f t="shared" ca="1" si="50"/>
        <v>100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IFERROR(__xludf.DUMMYFUNCTION("IMPORTRANGE(""https://docs.google.com/spreadsheets/d/1IYY_tgx_IHuhSq3AJ5eI5OnqOPBNLWSHKh2a30DoXe8/edit?usp=sharing"",""กระบี่!I22"")"),0)</f>
        <v>0</v>
      </c>
      <c r="J82" s="210">
        <f ca="1">IFERROR(__xludf.DUMMYFUNCTION("IMPORTRANGE(""https://docs.google.com/spreadsheets/d/1IYY_tgx_IHuhSq3AJ5eI5OnqOPBNLWSHKh2a30DoXe8/edit?usp=sharing"",""กระบี่!J22"")"),0)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IFERROR(__xludf.DUMMYFUNCTION("IMPORTRANGE(""https://docs.google.com/spreadsheets/d/1IYY_tgx_IHuhSq3AJ5eI5OnqOPBNLWSHKh2a30DoXe8/edit?usp=sharing"",""กระบี่!I23"")"),0)</f>
        <v>0</v>
      </c>
      <c r="J83" s="210">
        <f ca="1">IFERROR(__xludf.DUMMYFUNCTION("IMPORTRANGE(""https://docs.google.com/spreadsheets/d/1IYY_tgx_IHuhSq3AJ5eI5OnqOPBNLWSHKh2a30DoXe8/edit?usp=sharing"",""กระบี่!J23"")"),0)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IFERROR(__xludf.DUMMYFUNCTION("IMPORTRANGE(""https://docs.google.com/spreadsheets/d/1IYY_tgx_IHuhSq3AJ5eI5OnqOPBNLWSHKh2a30DoXe8/edit?usp=sharing"",""กระบี่!I24"")"),1)</f>
        <v>1</v>
      </c>
      <c r="J84" s="195">
        <f ca="1">IFERROR(__xludf.DUMMYFUNCTION("IMPORTRANGE(""https://docs.google.com/spreadsheets/d/1IYY_tgx_IHuhSq3AJ5eI5OnqOPBNLWSHKh2a30DoXe8/edit?usp=sharing"",""กระบี่!J24"")"),1)</f>
        <v>1</v>
      </c>
      <c r="K84" s="167">
        <f t="shared" ca="1" si="50"/>
        <v>100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IFERROR(__xludf.DUMMYFUNCTION("IMPORTRANGE(""https://docs.google.com/spreadsheets/d/1IYY_tgx_IHuhSq3AJ5eI5OnqOPBNLWSHKh2a30DoXe8/edit?usp=sharing"",""กระบี่!I25"")"),30)</f>
        <v>30</v>
      </c>
      <c r="J85" s="195">
        <f ca="1">IFERROR(__xludf.DUMMYFUNCTION("IMPORTRANGE(""https://docs.google.com/spreadsheets/d/1IYY_tgx_IHuhSq3AJ5eI5OnqOPBNLWSHKh2a30DoXe8/edit?usp=sharing"",""กระบี่!J25"")"),30)</f>
        <v>30</v>
      </c>
      <c r="K85" s="167">
        <f t="shared" ca="1" si="50"/>
        <v>100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IFERROR(__xludf.DUMMYFUNCTION("IMPORTRANGE(""https://docs.google.com/spreadsheets/d/1IYY_tgx_IHuhSq3AJ5eI5OnqOPBNLWSHKh2a30DoXe8/edit?usp=sharing"",""กระบี่!I26"")"),0)</f>
        <v>0</v>
      </c>
      <c r="J86" s="210">
        <f ca="1">IFERROR(__xludf.DUMMYFUNCTION("IMPORTRANGE(""https://docs.google.com/spreadsheets/d/1IYY_tgx_IHuhSq3AJ5eI5OnqOPBNLWSHKh2a30DoXe8/edit?usp=sharing"",""กระบี่!J26"")"),0)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IFERROR(__xludf.DUMMYFUNCTION("IMPORTRANGE(""https://docs.google.com/spreadsheets/d/1IYY_tgx_IHuhSq3AJ5eI5OnqOPBNLWSHKh2a30DoXe8/edit?usp=sharing"",""กระบี่!I27"")"),0)</f>
        <v>0</v>
      </c>
      <c r="J87" s="210">
        <f ca="1">IFERROR(__xludf.DUMMYFUNCTION("IMPORTRANGE(""https://docs.google.com/spreadsheets/d/1IYY_tgx_IHuhSq3AJ5eI5OnqOPBNLWSHKh2a30DoXe8/edit?usp=sharing"",""กระบี่!J27"")"),0)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IFERROR(__xludf.DUMMYFUNCTION("IMPORTRANGE(""https://docs.google.com/spreadsheets/d/1IYY_tgx_IHuhSq3AJ5eI5OnqOPBNLWSHKh2a30DoXe8/edit?usp=sharing"",""กระบี่!I28"")"),1)</f>
        <v>1</v>
      </c>
      <c r="J88" s="210">
        <f ca="1">IFERROR(__xludf.DUMMYFUNCTION("IMPORTRANGE(""https://docs.google.com/spreadsheets/d/1IYY_tgx_IHuhSq3AJ5eI5OnqOPBNLWSHKh2a30DoXe8/edit?usp=sharing"",""กระบี่!J28"")"),1)</f>
        <v>1</v>
      </c>
      <c r="K88" s="167">
        <f t="shared" ca="1" si="50"/>
        <v>100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IFERROR(__xludf.DUMMYFUNCTION("IMPORTRANGE(""https://docs.google.com/spreadsheets/d/1IYY_tgx_IHuhSq3AJ5eI5OnqOPBNLWSHKh2a30DoXe8/edit?usp=sharing"",""กระบี่!J29"")"),0)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IFERROR(__xludf.DUMMYFUNCTION("IMPORTRANGE(""https://docs.google.com/spreadsheets/d/1IYY_tgx_IHuhSq3AJ5eI5OnqOPBNLWSHKh2a30DoXe8/edit?usp=sharing"",""กระบี่!J30"")"),0)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IFERROR(__xludf.DUMMYFUNCTION("IMPORTRANGE(""https://docs.google.com/spreadsheets/d/1IYY_tgx_IHuhSq3AJ5eI5OnqOPBNLWSHKh2a30DoXe8/edit?usp=sharing"",""กระบี่!I32"")"),0)</f>
        <v>0</v>
      </c>
      <c r="J92" s="146">
        <f ca="1">IFERROR(__xludf.DUMMYFUNCTION("IMPORTRANGE(""https://docs.google.com/spreadsheets/d/1IYY_tgx_IHuhSq3AJ5eI5OnqOPBNLWSHKh2a30DoXe8/edit?usp=sharing"",""กระบี่!J32"")"),0)</f>
        <v>0</v>
      </c>
      <c r="K92" s="147">
        <f t="shared" ref="K92:K93" ca="1" si="51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IFERROR(__xludf.DUMMYFUNCTION("IMPORTRANGE(""https://docs.google.com/spreadsheets/d/1IYY_tgx_IHuhSq3AJ5eI5OnqOPBNLWSHKh2a30DoXe8/edit?usp=sharing"",""กระบี่!I33"")"),0)</f>
        <v>0</v>
      </c>
      <c r="J93" s="146">
        <f ca="1">IFERROR(__xludf.DUMMYFUNCTION("IMPORTRANGE(""https://docs.google.com/spreadsheets/d/1IYY_tgx_IHuhSq3AJ5eI5OnqOPBNLWSHKh2a30DoXe8/edit?usp=sharing"",""กระบี่!J33"")"),0)</f>
        <v>0</v>
      </c>
      <c r="K93" s="147">
        <f t="shared" ca="1" si="51"/>
        <v>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2" t="s">
        <v>17</v>
      </c>
      <c r="E94" s="573"/>
      <c r="F94" s="573"/>
      <c r="G94" s="573"/>
      <c r="H94" s="153" t="s">
        <v>12</v>
      </c>
      <c r="I94" s="166"/>
      <c r="J94" s="166"/>
      <c r="K94" s="167"/>
      <c r="L94" s="156">
        <f t="shared" ref="L94:N94" ca="1" si="52">L95+L96</f>
        <v>0</v>
      </c>
      <c r="M94" s="156">
        <f t="shared" ca="1" si="52"/>
        <v>0</v>
      </c>
      <c r="N94" s="156">
        <f t="shared" ca="1" si="52"/>
        <v>0</v>
      </c>
      <c r="O94" s="155">
        <f t="shared" ref="O94:O96" ca="1" si="53">IF(L94&gt;0,N94*100/L94,0)</f>
        <v>0</v>
      </c>
      <c r="P94" s="155">
        <f t="shared" ref="P94:P96" ca="1" si="54">IF(M94&gt;0,N94*100/M94,0)</f>
        <v>0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0</v>
      </c>
      <c r="M96" s="161">
        <f t="shared" ca="1" si="56"/>
        <v>0</v>
      </c>
      <c r="N96" s="161">
        <f t="shared" ca="1" si="56"/>
        <v>0</v>
      </c>
      <c r="O96" s="160">
        <f t="shared" ca="1" si="53"/>
        <v>0</v>
      </c>
      <c r="P96" s="160">
        <f t="shared" ca="1" si="54"/>
        <v>0</v>
      </c>
    </row>
    <row r="97" spans="1:16" ht="21.75" customHeight="1" x14ac:dyDescent="0.3">
      <c r="A97" s="162"/>
      <c r="B97" s="163"/>
      <c r="C97" s="163" t="s">
        <v>16</v>
      </c>
      <c r="D97" s="574" t="s">
        <v>20</v>
      </c>
      <c r="E97" s="575"/>
      <c r="F97" s="575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0</v>
      </c>
      <c r="M98" s="173">
        <f ca="1">IFERROR(__xludf.DUMMYFUNCTION("IMPORTRANGE(""https://docs.google.com/spreadsheets/d/1Yj_ptqi66GCucihVvJfMjLAmec39IyEx_6qawtMGysU/edit?usp=sharing"",""สบก!AR81"")"),0)</f>
        <v>0</v>
      </c>
      <c r="N98" s="174">
        <f ca="1">IFERROR(__xludf.DUMMYFUNCTION("IMPORTRANGE(""https://docs.google.com/spreadsheets/d/1Yj_ptqi66GCucihVvJfMjLAmec39IyEx_6qawtMGysU/edit?usp=sharing"",""สบก!AS81"")"),0)</f>
        <v>0</v>
      </c>
      <c r="O98" s="175">
        <f ca="1">IF(L98&gt;0,N98*100/L98,0)</f>
        <v>0</v>
      </c>
      <c r="P98" s="175">
        <f ca="1">IF(M98&gt;0,N98*100/M98,0)</f>
        <v>0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IFERROR(__xludf.DUMMYFUNCTION("IMPORTRANGE(""https://docs.google.com/spreadsheets/d/1Yj_ptqi66GCucihVvJfMjLAmec39IyEx_6qawtMGysU/edit?usp=sharing"",""สบก!AN81"")"),0)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IFERROR(__xludf.DUMMYFUNCTION("IMPORTRANGE(""https://docs.google.com/spreadsheets/d/1Yj_ptqi66GCucihVvJfMjLAmec39IyEx_6qawtMGysU/edit?usp=sharing"",""สบก!AO81"")"),0)</f>
        <v>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6" t="s">
        <v>23</v>
      </c>
      <c r="E101" s="575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IFERROR(__xludf.DUMMYFUNCTION("IMPORTRANGE(""https://docs.google.com/spreadsheets/d/1Yj_ptqi66GCucihVvJfMjLAmec39IyEx_6qawtMGysU/edit?usp=sharing"",""สบก!AP81"")"),0)</f>
        <v>0</v>
      </c>
      <c r="M102" s="101"/>
      <c r="N102" s="91">
        <f ca="1">IFERROR(__xludf.DUMMYFUNCTION("IMPORTRANGE(""https://docs.google.com/spreadsheets/d/1Yj_ptqi66GCucihVvJfMjLAmec39IyEx_6qawtMGysU/edit?usp=sharing"",""สบก!AT81"")"),0)</f>
        <v>0</v>
      </c>
      <c r="O102" s="101">
        <f ca="1">IF(L102&gt;0,N102*100/L102,0)</f>
        <v>0</v>
      </c>
      <c r="P102" s="101"/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IFERROR(__xludf.DUMMYFUNCTION("IMPORTRANGE(""https://docs.google.com/spreadsheets/d/1IYY_tgx_IHuhSq3AJ5eI5OnqOPBNLWSHKh2a30DoXe8/edit?usp=sharing"",""กระบี่!J39"")"),0)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IFERROR(__xludf.DUMMYFUNCTION("IMPORTRANGE(""https://docs.google.com/spreadsheets/d/1IYY_tgx_IHuhSq3AJ5eI5OnqOPBNLWSHKh2a30DoXe8/edit?usp=sharing"",""กระบี่!J40"")"),0)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IFERROR(__xludf.DUMMYFUNCTION("IMPORTRANGE(""https://docs.google.com/spreadsheets/d/1IYY_tgx_IHuhSq3AJ5eI5OnqOPBNLWSHKh2a30DoXe8/edit?usp=sharing"",""กระบี่!J41"")"),0)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IFERROR(__xludf.DUMMYFUNCTION("IMPORTRANGE(""https://docs.google.com/spreadsheets/d/1IYY_tgx_IHuhSq3AJ5eI5OnqOPBNLWSHKh2a30DoXe8/edit?usp=sharing"",""กระบี่!J42"")"),0)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IFERROR(__xludf.DUMMYFUNCTION("IMPORTRANGE(""https://docs.google.com/spreadsheets/d/1IYY_tgx_IHuhSq3AJ5eI5OnqOPBNLWSHKh2a30DoXe8/edit?usp=sharing"",""กระบี่!I43"")"),0)</f>
        <v>0</v>
      </c>
      <c r="J108" s="210">
        <f ca="1">IFERROR(__xludf.DUMMYFUNCTION("IMPORTRANGE(""https://docs.google.com/spreadsheets/d/1IYY_tgx_IHuhSq3AJ5eI5OnqOPBNLWSHKh2a30DoXe8/edit?usp=sharing"",""กระบี่!J43"")"),0)</f>
        <v>0</v>
      </c>
      <c r="K108" s="230">
        <f t="shared" ref="K108:K113" ca="1" si="57">IF(I108&gt;0,J108*100/I108,0)</f>
        <v>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IFERROR(__xludf.DUMMYFUNCTION("IMPORTRANGE(""https://docs.google.com/spreadsheets/d/1IYY_tgx_IHuhSq3AJ5eI5OnqOPBNLWSHKh2a30DoXe8/edit?usp=sharing"",""กระบี่!I44"")"),0)</f>
        <v>0</v>
      </c>
      <c r="J109" s="210">
        <f ca="1">IFERROR(__xludf.DUMMYFUNCTION("IMPORTRANGE(""https://docs.google.com/spreadsheets/d/1IYY_tgx_IHuhSq3AJ5eI5OnqOPBNLWSHKh2a30DoXe8/edit?usp=sharing"",""กระบี่!J44"")"),0)</f>
        <v>0</v>
      </c>
      <c r="K109" s="230">
        <f t="shared" ca="1" si="57"/>
        <v>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IFERROR(__xludf.DUMMYFUNCTION("IMPORTRANGE(""https://docs.google.com/spreadsheets/d/1IYY_tgx_IHuhSq3AJ5eI5OnqOPBNLWSHKh2a30DoXe8/edit?usp=sharing"",""กระบี่!I45"")"),0)</f>
        <v>0</v>
      </c>
      <c r="J110" s="210">
        <f ca="1">IFERROR(__xludf.DUMMYFUNCTION("IMPORTRANGE(""https://docs.google.com/spreadsheets/d/1IYY_tgx_IHuhSq3AJ5eI5OnqOPBNLWSHKh2a30DoXe8/edit?usp=sharing"",""กระบี่!J45"")"),0)</f>
        <v>0</v>
      </c>
      <c r="K110" s="230">
        <f t="shared" ca="1" si="57"/>
        <v>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IFERROR(__xludf.DUMMYFUNCTION("IMPORTRANGE(""https://docs.google.com/spreadsheets/d/1IYY_tgx_IHuhSq3AJ5eI5OnqOPBNLWSHKh2a30DoXe8/edit?usp=sharing"",""กระบี่!I46"")"),0)</f>
        <v>0</v>
      </c>
      <c r="J111" s="210">
        <f ca="1">IFERROR(__xludf.DUMMYFUNCTION("IMPORTRANGE(""https://docs.google.com/spreadsheets/d/1IYY_tgx_IHuhSq3AJ5eI5OnqOPBNLWSHKh2a30DoXe8/edit?usp=sharing"",""กระบี่!J46"")"),0)</f>
        <v>0</v>
      </c>
      <c r="K111" s="230">
        <f t="shared" ca="1" si="57"/>
        <v>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IFERROR(__xludf.DUMMYFUNCTION("IMPORTRANGE(""https://docs.google.com/spreadsheets/d/1IYY_tgx_IHuhSq3AJ5eI5OnqOPBNLWSHKh2a30DoXe8/edit?usp=sharing"",""กระบี่!I47"")"),0)</f>
        <v>0</v>
      </c>
      <c r="J112" s="210">
        <f ca="1">IFERROR(__xludf.DUMMYFUNCTION("IMPORTRANGE(""https://docs.google.com/spreadsheets/d/1IYY_tgx_IHuhSq3AJ5eI5OnqOPBNLWSHKh2a30DoXe8/edit?usp=sharing"",""กระบี่!J47"")"),0)</f>
        <v>0</v>
      </c>
      <c r="K112" s="230">
        <f t="shared" ca="1" si="57"/>
        <v>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IFERROR(__xludf.DUMMYFUNCTION("IMPORTRANGE(""https://docs.google.com/spreadsheets/d/1IYY_tgx_IHuhSq3AJ5eI5OnqOPBNLWSHKh2a30DoXe8/edit?usp=sharing"",""กระบี่!I48"")"),0)</f>
        <v>0</v>
      </c>
      <c r="J113" s="210">
        <f ca="1">IFERROR(__xludf.DUMMYFUNCTION("IMPORTRANGE(""https://docs.google.com/spreadsheets/d/1IYY_tgx_IHuhSq3AJ5eI5OnqOPBNLWSHKh2a30DoXe8/edit?usp=sharing"",""กระบี่!J48"")"),0)</f>
        <v>0</v>
      </c>
      <c r="K113" s="230">
        <f t="shared" ca="1" si="57"/>
        <v>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IFERROR(__xludf.DUMMYFUNCTION("IMPORTRANGE(""https://docs.google.com/spreadsheets/d/1IYY_tgx_IHuhSq3AJ5eI5OnqOPBNLWSHKh2a30DoXe8/edit?usp=sharing"",""กระบี่!J49"")"),0)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IFERROR(__xludf.DUMMYFUNCTION("IMPORTRANGE(""https://docs.google.com/spreadsheets/d/1IYY_tgx_IHuhSq3AJ5eI5OnqOPBNLWSHKh2a30DoXe8/edit?usp=sharing"",""กระบี่!J50"")"),0)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IFERROR(__xludf.DUMMYFUNCTION("IMPORTRANGE(""https://docs.google.com/spreadsheets/d/1IYY_tgx_IHuhSq3AJ5eI5OnqOPBNLWSHKh2a30DoXe8/edit?usp=sharing"",""กระบี่!I52"")"),0)</f>
        <v>0</v>
      </c>
      <c r="J117" s="146">
        <f ca="1">IFERROR(__xludf.DUMMYFUNCTION("IMPORTRANGE(""https://docs.google.com/spreadsheets/d/1IYY_tgx_IHuhSq3AJ5eI5OnqOPBNLWSHKh2a30DoXe8/edit?usp=sharing"",""กระบี่!J52"")"),0)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2" t="s">
        <v>17</v>
      </c>
      <c r="E118" s="573"/>
      <c r="F118" s="573"/>
      <c r="G118" s="573"/>
      <c r="H118" s="153" t="s">
        <v>12</v>
      </c>
      <c r="I118" s="166"/>
      <c r="J118" s="166"/>
      <c r="K118" s="167"/>
      <c r="L118" s="156">
        <f t="shared" ref="L118:N118" ca="1" si="58">L119+L120</f>
        <v>23078</v>
      </c>
      <c r="M118" s="156">
        <f t="shared" ca="1" si="58"/>
        <v>23078</v>
      </c>
      <c r="N118" s="156">
        <f t="shared" ca="1" si="58"/>
        <v>8511</v>
      </c>
      <c r="O118" s="155">
        <f t="shared" ref="O118:O120" ca="1" si="59">IF(L118&gt;0,N118*100/L118,0)</f>
        <v>36.879278966981538</v>
      </c>
      <c r="P118" s="155">
        <f t="shared" ref="P118:P120" ca="1" si="60">IF(M118&gt;0,N118*100/M118,0)</f>
        <v>36.879278966981538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23078</v>
      </c>
      <c r="M120" s="161">
        <f t="shared" ca="1" si="62"/>
        <v>23078</v>
      </c>
      <c r="N120" s="161">
        <f t="shared" ca="1" si="62"/>
        <v>8511</v>
      </c>
      <c r="O120" s="160">
        <f t="shared" ca="1" si="59"/>
        <v>36.879278966981538</v>
      </c>
      <c r="P120" s="160">
        <f t="shared" ca="1" si="60"/>
        <v>36.879278966981538</v>
      </c>
    </row>
    <row r="121" spans="1:16" ht="21.75" customHeight="1" x14ac:dyDescent="0.3">
      <c r="A121" s="162"/>
      <c r="B121" s="163"/>
      <c r="C121" s="163" t="s">
        <v>16</v>
      </c>
      <c r="D121" s="574" t="s">
        <v>20</v>
      </c>
      <c r="E121" s="575"/>
      <c r="F121" s="575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23078</v>
      </c>
      <c r="M122" s="173">
        <f ca="1">IFERROR(__xludf.DUMMYFUNCTION("IMPORTRANGE(""https://docs.google.com/spreadsheets/d/1Yj_ptqi66GCucihVvJfMjLAmec39IyEx_6qawtMGysU/edit?usp=sharing"",""สบก!BA81"")"),23078)</f>
        <v>23078</v>
      </c>
      <c r="N122" s="174">
        <f ca="1">IFERROR(__xludf.DUMMYFUNCTION("IMPORTRANGE(""https://docs.google.com/spreadsheets/d/1Yj_ptqi66GCucihVvJfMjLAmec39IyEx_6qawtMGysU/edit?usp=sharing"",""สบก!BB81"")"),8511)</f>
        <v>8511</v>
      </c>
      <c r="O122" s="175">
        <f ca="1">IF(L122&gt;0,N122*100/L122,0)</f>
        <v>36.879278966981538</v>
      </c>
      <c r="P122" s="175">
        <f ca="1">IF(M122&gt;0,N122*100/M122,0)</f>
        <v>36.879278966981538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IFERROR(__xludf.DUMMYFUNCTION("IMPORTRANGE(""https://docs.google.com/spreadsheets/d/1Yj_ptqi66GCucihVvJfMjLAmec39IyEx_6qawtMGysU/edit?usp=sharing"",""สบก!AW81"")"),0)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IFERROR(__xludf.DUMMYFUNCTION("IMPORTRANGE(""https://docs.google.com/spreadsheets/d/1Yj_ptqi66GCucihVvJfMjLAmec39IyEx_6qawtMGysU/edit?usp=sharing"",""สบก!AX81"")"),23078)</f>
        <v>23078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6" t="s">
        <v>23</v>
      </c>
      <c r="E125" s="575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IFERROR(__xludf.DUMMYFUNCTION("IMPORTRANGE(""https://docs.google.com/spreadsheets/d/1Yj_ptqi66GCucihVvJfMjLAmec39IyEx_6qawtMGysU/edit?usp=sharing"",""สบก!AY81"")"),0)</f>
        <v>0</v>
      </c>
      <c r="M126" s="101"/>
      <c r="N126" s="91">
        <f ca="1">IFERROR(__xludf.DUMMYFUNCTION("IMPORTRANGE(""https://docs.google.com/spreadsheets/d/1Yj_ptqi66GCucihVvJfMjLAmec39IyEx_6qawtMGysU/edit?usp=sharing"",""สบก!BC81"")"),0)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261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IFERROR(__xludf.DUMMYFUNCTION("IMPORTRANGE(""https://docs.google.com/spreadsheets/d/1IYY_tgx_IHuhSq3AJ5eI5OnqOPBNLWSHKh2a30DoXe8/edit?usp=sharing"",""กระบี่!J58"")"),0)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IFERROR(__xludf.DUMMYFUNCTION("IMPORTRANGE(""https://docs.google.com/spreadsheets/d/1IYY_tgx_IHuhSq3AJ5eI5OnqOPBNLWSHKh2a30DoXe8/edit?usp=sharing"",""กระบี่!J59"")"),0)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IFERROR(__xludf.DUMMYFUNCTION("IMPORTRANGE(""https://docs.google.com/spreadsheets/d/1IYY_tgx_IHuhSq3AJ5eI5OnqOPBNLWSHKh2a30DoXe8/edit?usp=sharing"",""กระบี่!J60"")"),0)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IFERROR(__xludf.DUMMYFUNCTION("IMPORTRANGE(""https://docs.google.com/spreadsheets/d/1IYY_tgx_IHuhSq3AJ5eI5OnqOPBNLWSHKh2a30DoXe8/edit?usp=sharing"",""กระบี่!J61"")"),0)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IFERROR(__xludf.DUMMYFUNCTION("IMPORTRANGE(""https://docs.google.com/spreadsheets/d/1IYY_tgx_IHuhSq3AJ5eI5OnqOPBNLWSHKh2a30DoXe8/edit?usp=sharing"",""กระบี่!I62"")"),0)</f>
        <v>0</v>
      </c>
      <c r="J132" s="210">
        <f ca="1">IFERROR(__xludf.DUMMYFUNCTION("IMPORTRANGE(""https://docs.google.com/spreadsheets/d/1IYY_tgx_IHuhSq3AJ5eI5OnqOPBNLWSHKh2a30DoXe8/edit?usp=sharing"",""กระบี่!J62"")"),0)</f>
        <v>0</v>
      </c>
      <c r="K132" s="230">
        <f t="shared" ref="K132:K133" ca="1" si="63">IF(I132&gt;0,J132*100/I132,0)</f>
        <v>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IFERROR(__xludf.DUMMYFUNCTION("IMPORTRANGE(""https://docs.google.com/spreadsheets/d/1IYY_tgx_IHuhSq3AJ5eI5OnqOPBNLWSHKh2a30DoXe8/edit?usp=sharing"",""กระบี่!I63"")"),0)</f>
        <v>0</v>
      </c>
      <c r="J133" s="210">
        <f ca="1">IFERROR(__xludf.DUMMYFUNCTION("IMPORTRANGE(""https://docs.google.com/spreadsheets/d/1IYY_tgx_IHuhSq3AJ5eI5OnqOPBNLWSHKh2a30DoXe8/edit?usp=sharing"",""กระบี่!J63"")"),0)</f>
        <v>0</v>
      </c>
      <c r="K133" s="230">
        <f t="shared" ca="1" si="63"/>
        <v>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IFERROR(__xludf.DUMMYFUNCTION("IMPORTRANGE(""https://docs.google.com/spreadsheets/d/1IYY_tgx_IHuhSq3AJ5eI5OnqOPBNLWSHKh2a30DoXe8/edit?usp=sharing"",""กระบี่!J64"")"),0)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IFERROR(__xludf.DUMMYFUNCTION("IMPORTRANGE(""https://docs.google.com/spreadsheets/d/1IYY_tgx_IHuhSq3AJ5eI5OnqOPBNLWSHKh2a30DoXe8/edit?usp=sharing"",""กระบี่!J65"")"),0)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IFERROR(__xludf.DUMMYFUNCTION("IMPORTRANGE(""https://docs.google.com/spreadsheets/d/1IYY_tgx_IHuhSq3AJ5eI5OnqOPBNLWSHKh2a30DoXe8/edit?usp=sharing"",""กระบี่!I68"")"),15)</f>
        <v>15</v>
      </c>
      <c r="J138" s="273">
        <f ca="1">IFERROR(__xludf.DUMMYFUNCTION("IMPORTRANGE(""https://docs.google.com/spreadsheets/d/1IYY_tgx_IHuhSq3AJ5eI5OnqOPBNLWSHKh2a30DoXe8/edit?usp=sharing"",""กระบี่!J68"")"),15)</f>
        <v>15</v>
      </c>
      <c r="K138" s="274">
        <f ca="1">IF(I138&gt;0,J138*100/I138,0)</f>
        <v>100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2" t="s">
        <v>17</v>
      </c>
      <c r="E140" s="573"/>
      <c r="F140" s="573"/>
      <c r="G140" s="573"/>
      <c r="H140" s="153" t="s">
        <v>12</v>
      </c>
      <c r="I140" s="166"/>
      <c r="J140" s="166"/>
      <c r="K140" s="167"/>
      <c r="L140" s="156">
        <f t="shared" ref="L140:N140" ca="1" si="64">L141+L142</f>
        <v>70000</v>
      </c>
      <c r="M140" s="156">
        <f t="shared" ca="1" si="64"/>
        <v>70000</v>
      </c>
      <c r="N140" s="156">
        <f t="shared" ca="1" si="64"/>
        <v>65232</v>
      </c>
      <c r="O140" s="155">
        <f t="shared" ref="O140:O142" ca="1" si="65">IF(L140&gt;0,N140*100/L140,0)</f>
        <v>93.188571428571422</v>
      </c>
      <c r="P140" s="155">
        <f t="shared" ref="P140:P142" ca="1" si="66">IF(M140&gt;0,N140*100/M140,0)</f>
        <v>93.188571428571422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70000</v>
      </c>
      <c r="M142" s="161">
        <f t="shared" ca="1" si="68"/>
        <v>70000</v>
      </c>
      <c r="N142" s="161">
        <f t="shared" ca="1" si="68"/>
        <v>65232</v>
      </c>
      <c r="O142" s="160">
        <f t="shared" ca="1" si="65"/>
        <v>93.188571428571422</v>
      </c>
      <c r="P142" s="160">
        <f t="shared" ca="1" si="66"/>
        <v>93.188571428571422</v>
      </c>
    </row>
    <row r="143" spans="1:16" ht="21.75" customHeight="1" x14ac:dyDescent="0.3">
      <c r="A143" s="162"/>
      <c r="B143" s="163"/>
      <c r="C143" s="163" t="s">
        <v>16</v>
      </c>
      <c r="D143" s="574" t="s">
        <v>20</v>
      </c>
      <c r="E143" s="575"/>
      <c r="F143" s="575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70000</v>
      </c>
      <c r="M144" s="173">
        <f ca="1">IFERROR(__xludf.DUMMYFUNCTION("IMPORTRANGE(""https://docs.google.com/spreadsheets/d/1Yj_ptqi66GCucihVvJfMjLAmec39IyEx_6qawtMGysU/edit?usp=sharing"",""สบก!BJ81"")"),70000)</f>
        <v>70000</v>
      </c>
      <c r="N144" s="174">
        <f ca="1">IFERROR(__xludf.DUMMYFUNCTION("IMPORTRANGE(""https://docs.google.com/spreadsheets/d/1Yj_ptqi66GCucihVvJfMjLAmec39IyEx_6qawtMGysU/edit?usp=sharing"",""สบก!BK81"")"),65232)</f>
        <v>65232</v>
      </c>
      <c r="O144" s="175">
        <f ca="1">IF(L144&gt;0,N144*100/L144,0)</f>
        <v>93.188571428571422</v>
      </c>
      <c r="P144" s="175">
        <f ca="1">IF(M144&gt;0,N144*100/M144,0)</f>
        <v>93.188571428571422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IFERROR(__xludf.DUMMYFUNCTION("IMPORTRANGE(""https://docs.google.com/spreadsheets/d/1Yj_ptqi66GCucihVvJfMjLAmec39IyEx_6qawtMGysU/edit?usp=sharing"",""สบก!BF81"")"),0)</f>
        <v>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IFERROR(__xludf.DUMMYFUNCTION("IMPORTRANGE(""https://docs.google.com/spreadsheets/d/1Yj_ptqi66GCucihVvJfMjLAmec39IyEx_6qawtMGysU/edit?usp=sharing"",""สบก!BG81"")"),70000)</f>
        <v>70000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6" t="s">
        <v>23</v>
      </c>
      <c r="E147" s="575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IFERROR(__xludf.DUMMYFUNCTION("IMPORTRANGE(""https://docs.google.com/spreadsheets/d/1Yj_ptqi66GCucihVvJfMjLAmec39IyEx_6qawtMGysU/edit?usp=sharing"",""สบก!BH81"")"),0)</f>
        <v>0</v>
      </c>
      <c r="M148" s="101"/>
      <c r="N148" s="91">
        <f ca="1">IFERROR(__xludf.DUMMYFUNCTION("IMPORTRANGE(""https://docs.google.com/spreadsheets/d/1Yj_ptqi66GCucihVvJfMjLAmec39IyEx_6qawtMGysU/edit?usp=sharing"",""สบก!BL81"")"),0)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IFERROR(__xludf.DUMMYFUNCTION("IMPORTRANGE(""https://docs.google.com/spreadsheets/d/1IYY_tgx_IHuhSq3AJ5eI5OnqOPBNLWSHKh2a30DoXe8/edit?usp=sharing"",""กระบี่!I74"")"),4)</f>
        <v>4</v>
      </c>
      <c r="J149" s="281">
        <f ca="1">IFERROR(__xludf.DUMMYFUNCTION("IMPORTRANGE(""https://docs.google.com/spreadsheets/d/1IYY_tgx_IHuhSq3AJ5eI5OnqOPBNLWSHKh2a30DoXe8/edit?usp=sharing"",""กระบี่!J74"")"),4)</f>
        <v>4</v>
      </c>
      <c r="K149" s="282">
        <f ca="1">IF(I149&gt;0,J149*100/I149,0)</f>
        <v>100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IFERROR(__xludf.DUMMYFUNCTION("IMPORTRANGE(""https://docs.google.com/spreadsheets/d/1IYY_tgx_IHuhSq3AJ5eI5OnqOPBNLWSHKh2a30DoXe8/edit?usp=sharing"",""กระบี่!J79"")"),0)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IFERROR(__xludf.DUMMYFUNCTION("IMPORTRANGE(""https://docs.google.com/spreadsheets/d/1IYY_tgx_IHuhSq3AJ5eI5OnqOPBNLWSHKh2a30DoXe8/edit?usp=sharing"",""กระบี่!J80"")"),1)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IFERROR(__xludf.DUMMYFUNCTION("IMPORTRANGE(""https://docs.google.com/spreadsheets/d/1IYY_tgx_IHuhSq3AJ5eI5OnqOPBNLWSHKh2a30DoXe8/edit?usp=sharing"",""กระบี่!J81"")"),1)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IFERROR(__xludf.DUMMYFUNCTION("IMPORTRANGE(""https://docs.google.com/spreadsheets/d/1IYY_tgx_IHuhSq3AJ5eI5OnqOPBNLWSHKh2a30DoXe8/edit?usp=sharing"",""กระบี่!J82"")"),1)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IFERROR(__xludf.DUMMYFUNCTION("IMPORTRANGE(""https://docs.google.com/spreadsheets/d/1IYY_tgx_IHuhSq3AJ5eI5OnqOPBNLWSHKh2a30DoXe8/edit?usp=sharing"",""กระบี่!I83"")"),4)</f>
        <v>4</v>
      </c>
      <c r="J158" s="195">
        <f ca="1">IFERROR(__xludf.DUMMYFUNCTION("IMPORTRANGE(""https://docs.google.com/spreadsheets/d/1IYY_tgx_IHuhSq3AJ5eI5OnqOPBNLWSHKh2a30DoXe8/edit?usp=sharing"",""กระบี่!J83"")"),4)</f>
        <v>4</v>
      </c>
      <c r="K158" s="167">
        <f ca="1">IF(I158&gt;0,J158*100/I158,0)</f>
        <v>100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IFERROR(__xludf.DUMMYFUNCTION("IMPORTRANGE(""https://docs.google.com/spreadsheets/d/1IYY_tgx_IHuhSq3AJ5eI5OnqOPBNLWSHKh2a30DoXe8/edit?usp=sharing"",""กระบี่!J84"")"),37)</f>
        <v>37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IFERROR(__xludf.DUMMYFUNCTION("IMPORTRANGE(""https://docs.google.com/spreadsheets/d/1IYY_tgx_IHuhSq3AJ5eI5OnqOPBNLWSHKh2a30DoXe8/edit?usp=sharing"",""กระบี่!J85"")"),37)</f>
        <v>37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IFERROR(__xludf.DUMMYFUNCTION("IMPORTRANGE(""https://docs.google.com/spreadsheets/d/1IYY_tgx_IHuhSq3AJ5eI5OnqOPBNLWSHKh2a30DoXe8/edit?usp=sharing"",""กระบี่!J86"")"),0)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IFERROR(__xludf.DUMMYFUNCTION("IMPORTRANGE(""https://docs.google.com/spreadsheets/d/1IYY_tgx_IHuhSq3AJ5eI5OnqOPBNLWSHKh2a30DoXe8/edit?usp=sharing"",""กระบี่!J87"")"),0)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IFERROR(__xludf.DUMMYFUNCTION("IMPORTRANGE(""https://docs.google.com/spreadsheets/d/1IYY_tgx_IHuhSq3AJ5eI5OnqOPBNLWSHKh2a30DoXe8/edit?usp=sharing"",""กระบี่!J88"")"),0)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IFERROR(__xludf.DUMMYFUNCTION("IMPORTRANGE(""https://docs.google.com/spreadsheets/d/1IYY_tgx_IHuhSq3AJ5eI5OnqOPBNLWSHKh2a30DoXe8/edit?usp=sharing"",""กระบี่!I89"")"),2)</f>
        <v>2</v>
      </c>
      <c r="J164" s="290">
        <f ca="1">IFERROR(__xludf.DUMMYFUNCTION("IMPORTRANGE(""https://docs.google.com/spreadsheets/d/1IYY_tgx_IHuhSq3AJ5eI5OnqOPBNLWSHKh2a30DoXe8/edit?usp=sharing"",""กระบี่!J89"")"),2)</f>
        <v>2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IFERROR(__xludf.DUMMYFUNCTION("IMPORTRANGE(""https://docs.google.com/spreadsheets/d/1IYY_tgx_IHuhSq3AJ5eI5OnqOPBNLWSHKh2a30DoXe8/edit?usp=sharing"",""กระบี่!J94"")"),0)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IFERROR(__xludf.DUMMYFUNCTION("IMPORTRANGE(""https://docs.google.com/spreadsheets/d/1IYY_tgx_IHuhSq3AJ5eI5OnqOPBNLWSHKh2a30DoXe8/edit?usp=sharing"",""กระบี่!J95"")"),0)</f>
        <v>0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IFERROR(__xludf.DUMMYFUNCTION("IMPORTRANGE(""https://docs.google.com/spreadsheets/d/1IYY_tgx_IHuhSq3AJ5eI5OnqOPBNLWSHKh2a30DoXe8/edit?usp=sharing"",""กระบี่!J96"")"),1)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IFERROR(__xludf.DUMMYFUNCTION("IMPORTRANGE(""https://docs.google.com/spreadsheets/d/1IYY_tgx_IHuhSq3AJ5eI5OnqOPBNLWSHKh2a30DoXe8/edit?usp=sharing"",""กระบี่!J97"")"),1)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IFERROR(__xludf.DUMMYFUNCTION("IMPORTRANGE(""https://docs.google.com/spreadsheets/d/1IYY_tgx_IHuhSq3AJ5eI5OnqOPBNLWSHKh2a30DoXe8/edit?usp=sharing"",""กระบี่!I98"")"),2)</f>
        <v>2</v>
      </c>
      <c r="J173" s="195">
        <f ca="1">IFERROR(__xludf.DUMMYFUNCTION("IMPORTRANGE(""https://docs.google.com/spreadsheets/d/1IYY_tgx_IHuhSq3AJ5eI5OnqOPBNLWSHKh2a30DoXe8/edit?usp=sharing"",""กระบี่!J98"")"),2)</f>
        <v>2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IFERROR(__xludf.DUMMYFUNCTION("IMPORTRANGE(""https://docs.google.com/spreadsheets/d/1IYY_tgx_IHuhSq3AJ5eI5OnqOPBNLWSHKh2a30DoXe8/edit?usp=sharing"",""กระบี่!J99"")"),1)</f>
        <v>1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IFERROR(__xludf.DUMMYFUNCTION("IMPORTRANGE(""https://docs.google.com/spreadsheets/d/1IYY_tgx_IHuhSq3AJ5eI5OnqOPBNLWSHKh2a30DoXe8/edit?usp=sharing"",""กระบี่!J100"")"),1)</f>
        <v>1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IFERROR(__xludf.DUMMYFUNCTION("IMPORTRANGE(""https://docs.google.com/spreadsheets/d/1IYY_tgx_IHuhSq3AJ5eI5OnqOPBNLWSHKh2a30DoXe8/edit?usp=sharing"",""กระบี่!I101"")"),0)</f>
        <v>0</v>
      </c>
      <c r="J176" s="290">
        <f ca="1">IFERROR(__xludf.DUMMYFUNCTION("IMPORTRANGE(""https://docs.google.com/spreadsheets/d/1IYY_tgx_IHuhSq3AJ5eI5OnqOPBNLWSHKh2a30DoXe8/edit?usp=sharing"",""กระบี่!J101"")"),0)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IFERROR(__xludf.DUMMYFUNCTION("IMPORTRANGE(""https://docs.google.com/spreadsheets/d/1IYY_tgx_IHuhSq3AJ5eI5OnqOPBNLWSHKh2a30DoXe8/edit?usp=sharing"",""กระบี่!J106"")"),0)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IFERROR(__xludf.DUMMYFUNCTION("IMPORTRANGE(""https://docs.google.com/spreadsheets/d/1IYY_tgx_IHuhSq3AJ5eI5OnqOPBNLWSHKh2a30DoXe8/edit?usp=sharing"",""กระบี่!J107"")"),0)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IFERROR(__xludf.DUMMYFUNCTION("IMPORTRANGE(""https://docs.google.com/spreadsheets/d/1IYY_tgx_IHuhSq3AJ5eI5OnqOPBNLWSHKh2a30DoXe8/edit?usp=sharing"",""กระบี่!J108"")"),0)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IFERROR(__xludf.DUMMYFUNCTION("IMPORTRANGE(""https://docs.google.com/spreadsheets/d/1IYY_tgx_IHuhSq3AJ5eI5OnqOPBNLWSHKh2a30DoXe8/edit?usp=sharing"",""กระบี่!J109"")"),0)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IFERROR(__xludf.DUMMYFUNCTION("IMPORTRANGE(""https://docs.google.com/spreadsheets/d/1IYY_tgx_IHuhSq3AJ5eI5OnqOPBNLWSHKh2a30DoXe8/edit?usp=sharing"",""กระบี่!I110"")"),0)</f>
        <v>0</v>
      </c>
      <c r="J185" s="210">
        <f ca="1">IFERROR(__xludf.DUMMYFUNCTION("IMPORTRANGE(""https://docs.google.com/spreadsheets/d/1IYY_tgx_IHuhSq3AJ5eI5OnqOPBNLWSHKh2a30DoXe8/edit?usp=sharing"",""กระบี่!J110"")"),0)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IFERROR(__xludf.DUMMYFUNCTION("IMPORTRANGE(""https://docs.google.com/spreadsheets/d/1IYY_tgx_IHuhSq3AJ5eI5OnqOPBNLWSHKh2a30DoXe8/edit?usp=sharing"",""กระบี่!I111"")"),0)</f>
        <v>0</v>
      </c>
      <c r="J186" s="210">
        <f ca="1">IFERROR(__xludf.DUMMYFUNCTION("IMPORTRANGE(""https://docs.google.com/spreadsheets/d/1IYY_tgx_IHuhSq3AJ5eI5OnqOPBNLWSHKh2a30DoXe8/edit?usp=sharing"",""กระบี่!J111"")"),0)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IFERROR(__xludf.DUMMYFUNCTION("IMPORTRANGE(""https://docs.google.com/spreadsheets/d/1IYY_tgx_IHuhSq3AJ5eI5OnqOPBNLWSHKh2a30DoXe8/edit?usp=sharing"",""กระบี่!J112"")"),0)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IFERROR(__xludf.DUMMYFUNCTION("IMPORTRANGE(""https://docs.google.com/spreadsheets/d/1IYY_tgx_IHuhSq3AJ5eI5OnqOPBNLWSHKh2a30DoXe8/edit?usp=sharing"",""กระบี่!J113"")"),0)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IFERROR(__xludf.DUMMYFUNCTION("IMPORTRANGE(""https://docs.google.com/spreadsheets/d/1IYY_tgx_IHuhSq3AJ5eI5OnqOPBNLWSHKh2a30DoXe8/edit?usp=sharing"",""กระบี่!I114"")"),50000)</f>
        <v>50000</v>
      </c>
      <c r="J189" s="290">
        <f ca="1">IFERROR(__xludf.DUMMYFUNCTION("IMPORTRANGE(""https://docs.google.com/spreadsheets/d/1IYY_tgx_IHuhSq3AJ5eI5OnqOPBNLWSHKh2a30DoXe8/edit?usp=sharing"",""กระบี่!J114"")"),50000)</f>
        <v>50000</v>
      </c>
      <c r="K189" s="291">
        <f ca="1">IF(I189&gt;0,J189*100/I189,0)</f>
        <v>100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IFERROR(__xludf.DUMMYFUNCTION("IMPORTRANGE(""https://docs.google.com/spreadsheets/d/1IYY_tgx_IHuhSq3AJ5eI5OnqOPBNLWSHKh2a30DoXe8/edit?usp=sharing"",""กระบี่!J119"")"),0)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IFERROR(__xludf.DUMMYFUNCTION("IMPORTRANGE(""https://docs.google.com/spreadsheets/d/1IYY_tgx_IHuhSq3AJ5eI5OnqOPBNLWSHKh2a30DoXe8/edit?usp=sharing"",""กระบี่!J120"")"),1)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IFERROR(__xludf.DUMMYFUNCTION("IMPORTRANGE(""https://docs.google.com/spreadsheets/d/1IYY_tgx_IHuhSq3AJ5eI5OnqOPBNLWSHKh2a30DoXe8/edit?usp=sharing"",""กระบี่!J121"")"),1)</f>
        <v>1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IFERROR(__xludf.DUMMYFUNCTION("IMPORTRANGE(""https://docs.google.com/spreadsheets/d/1IYY_tgx_IHuhSq3AJ5eI5OnqOPBNLWSHKh2a30DoXe8/edit?usp=sharing"",""กระบี่!J122"")"),0)</f>
        <v>0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IFERROR(__xludf.DUMMYFUNCTION("IMPORTRANGE(""https://docs.google.com/spreadsheets/d/1IYY_tgx_IHuhSq3AJ5eI5OnqOPBNLWSHKh2a30DoXe8/edit?usp=sharing"",""กระบี่!I124"")"),50000)</f>
        <v>50000</v>
      </c>
      <c r="J199" s="195">
        <f ca="1">IFERROR(__xludf.DUMMYFUNCTION("IMPORTRANGE(""https://docs.google.com/spreadsheets/d/1IYY_tgx_IHuhSq3AJ5eI5OnqOPBNLWSHKh2a30DoXe8/edit?usp=sharing"",""กระบี่!J124"")"),50000)</f>
        <v>50000</v>
      </c>
      <c r="K199" s="167">
        <f t="shared" ref="K199:K201" ca="1" si="70">IF(I199&gt;0,J199*100/I199,0)</f>
        <v>100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IFERROR(__xludf.DUMMYFUNCTION("IMPORTRANGE(""https://docs.google.com/spreadsheets/d/1IYY_tgx_IHuhSq3AJ5eI5OnqOPBNLWSHKh2a30DoXe8/edit?usp=sharing"",""กระบี่!I125"")"),50000)</f>
        <v>50000</v>
      </c>
      <c r="J200" s="195">
        <f ca="1">IFERROR(__xludf.DUMMYFUNCTION("IMPORTRANGE(""https://docs.google.com/spreadsheets/d/1IYY_tgx_IHuhSq3AJ5eI5OnqOPBNLWSHKh2a30DoXe8/edit?usp=sharing"",""กระบี่!J125"")"),50000)</f>
        <v>50000</v>
      </c>
      <c r="K200" s="167">
        <f t="shared" ca="1" si="70"/>
        <v>100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IFERROR(__xludf.DUMMYFUNCTION("IMPORTRANGE(""https://docs.google.com/spreadsheets/d/1IYY_tgx_IHuhSq3AJ5eI5OnqOPBNLWSHKh2a30DoXe8/edit?usp=sharing"",""กระบี่!I126"")"),15)</f>
        <v>15</v>
      </c>
      <c r="J201" s="195">
        <f ca="1">IFERROR(__xludf.DUMMYFUNCTION("IMPORTRANGE(""https://docs.google.com/spreadsheets/d/1IYY_tgx_IHuhSq3AJ5eI5OnqOPBNLWSHKh2a30DoXe8/edit?usp=sharing"",""กระบี่!J126"")"),15)</f>
        <v>15</v>
      </c>
      <c r="K201" s="167">
        <f t="shared" ca="1" si="70"/>
        <v>100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IFERROR(__xludf.DUMMYFUNCTION("IMPORTRANGE(""https://docs.google.com/spreadsheets/d/1IYY_tgx_IHuhSq3AJ5eI5OnqOPBNLWSHKh2a30DoXe8/edit?usp=sharing"",""กระบี่!J127"")"),1)</f>
        <v>1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IFERROR(__xludf.DUMMYFUNCTION("IMPORTRANGE(""https://docs.google.com/spreadsheets/d/1IYY_tgx_IHuhSq3AJ5eI5OnqOPBNLWSHKh2a30DoXe8/edit?usp=sharing"",""กระบี่!J128"")"),1)</f>
        <v>1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IFERROR(__xludf.DUMMYFUNCTION("IMPORTRANGE(""https://docs.google.com/spreadsheets/d/1IYY_tgx_IHuhSq3AJ5eI5OnqOPBNLWSHKh2a30DoXe8/edit?usp=sharing"",""กระบี่!I129"")"),0)</f>
        <v>0</v>
      </c>
      <c r="J204" s="290">
        <f ca="1">IFERROR(__xludf.DUMMYFUNCTION("IMPORTRANGE(""https://docs.google.com/spreadsheets/d/1IYY_tgx_IHuhSq3AJ5eI5OnqOPBNLWSHKh2a30DoXe8/edit?usp=sharing"",""กระบี่!J129"")"),0)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IFERROR(__xludf.DUMMYFUNCTION("IMPORTRANGE(""https://docs.google.com/spreadsheets/d/1IYY_tgx_IHuhSq3AJ5eI5OnqOPBNLWSHKh2a30DoXe8/edit?usp=sharing"",""กระบี่!J134"")"),0)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IFERROR(__xludf.DUMMYFUNCTION("IMPORTRANGE(""https://docs.google.com/spreadsheets/d/1IYY_tgx_IHuhSq3AJ5eI5OnqOPBNLWSHKh2a30DoXe8/edit?usp=sharing"",""กระบี่!J135"")"),0)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IFERROR(__xludf.DUMMYFUNCTION("IMPORTRANGE(""https://docs.google.com/spreadsheets/d/1IYY_tgx_IHuhSq3AJ5eI5OnqOPBNLWSHKh2a30DoXe8/edit?usp=sharing"",""กระบี่!J136"")"),0)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IFERROR(__xludf.DUMMYFUNCTION("IMPORTRANGE(""https://docs.google.com/spreadsheets/d/1IYY_tgx_IHuhSq3AJ5eI5OnqOPBNLWSHKh2a30DoXe8/edit?usp=sharing"",""กระบี่!J137"")"),0)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IFERROR(__xludf.DUMMYFUNCTION("IMPORTRANGE(""https://docs.google.com/spreadsheets/d/1IYY_tgx_IHuhSq3AJ5eI5OnqOPBNLWSHKh2a30DoXe8/edit?usp=sharing"",""กระบี่!I138"")"),0)</f>
        <v>0</v>
      </c>
      <c r="J213" s="210">
        <f ca="1">IFERROR(__xludf.DUMMYFUNCTION("IMPORTRANGE(""https://docs.google.com/spreadsheets/d/1IYY_tgx_IHuhSq3AJ5eI5OnqOPBNLWSHKh2a30DoXe8/edit?usp=sharing"",""กระบี่!J138"")"),0)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IFERROR(__xludf.DUMMYFUNCTION("IMPORTRANGE(""https://docs.google.com/spreadsheets/d/1IYY_tgx_IHuhSq3AJ5eI5OnqOPBNLWSHKh2a30DoXe8/edit?usp=sharing"",""กระบี่!I140"")"),0)</f>
        <v>0</v>
      </c>
      <c r="J215" s="210">
        <f ca="1">IFERROR(__xludf.DUMMYFUNCTION("IMPORTRANGE(""https://docs.google.com/spreadsheets/d/1IYY_tgx_IHuhSq3AJ5eI5OnqOPBNLWSHKh2a30DoXe8/edit?usp=sharing"",""กระบี่!J140"")"),0)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IFERROR(__xludf.DUMMYFUNCTION("IMPORTRANGE(""https://docs.google.com/spreadsheets/d/1IYY_tgx_IHuhSq3AJ5eI5OnqOPBNLWSHKh2a30DoXe8/edit?usp=sharing"",""กระบี่!I141"")"),0)</f>
        <v>0</v>
      </c>
      <c r="J216" s="210">
        <f ca="1">IFERROR(__xludf.DUMMYFUNCTION("IMPORTRANGE(""https://docs.google.com/spreadsheets/d/1IYY_tgx_IHuhSq3AJ5eI5OnqOPBNLWSHKh2a30DoXe8/edit?usp=sharing"",""กระบี่!J141"")"),0)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IFERROR(__xludf.DUMMYFUNCTION("IMPORTRANGE(""https://docs.google.com/spreadsheets/d/1IYY_tgx_IHuhSq3AJ5eI5OnqOPBNLWSHKh2a30DoXe8/edit?usp=sharing"",""กระบี่!J142"")"),0)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IFERROR(__xludf.DUMMYFUNCTION("IMPORTRANGE(""https://docs.google.com/spreadsheets/d/1IYY_tgx_IHuhSq3AJ5eI5OnqOPBNLWSHKh2a30DoXe8/edit?usp=sharing"",""กระบี่!J143"")"),0)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IFERROR(__xludf.DUMMYFUNCTION("IMPORTRANGE(""https://docs.google.com/spreadsheets/d/1IYY_tgx_IHuhSq3AJ5eI5OnqOPBNLWSHKh2a30DoXe8/edit?usp=sharing"",""กระบี่!I144"")"),13)</f>
        <v>13</v>
      </c>
      <c r="J219" s="273">
        <f ca="1">IFERROR(__xludf.DUMMYFUNCTION("IMPORTRANGE(""https://docs.google.com/spreadsheets/d/1IYY_tgx_IHuhSq3AJ5eI5OnqOPBNLWSHKh2a30DoXe8/edit?usp=sharing"",""กระบี่!J144"")"),13)</f>
        <v>13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2" t="s">
        <v>17</v>
      </c>
      <c r="E220" s="573"/>
      <c r="F220" s="573"/>
      <c r="G220" s="573"/>
      <c r="H220" s="153" t="s">
        <v>12</v>
      </c>
      <c r="I220" s="166"/>
      <c r="J220" s="166"/>
      <c r="K220" s="167"/>
      <c r="L220" s="156">
        <f t="shared" ref="L220:N220" ca="1" si="72">L221+L222</f>
        <v>19295</v>
      </c>
      <c r="M220" s="156">
        <f t="shared" ca="1" si="72"/>
        <v>19295</v>
      </c>
      <c r="N220" s="156">
        <f t="shared" ca="1" si="72"/>
        <v>19295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19295</v>
      </c>
      <c r="M222" s="161">
        <f t="shared" ca="1" si="76"/>
        <v>19295</v>
      </c>
      <c r="N222" s="161">
        <f t="shared" ca="1" si="76"/>
        <v>19295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3">
      <c r="A223" s="162"/>
      <c r="B223" s="163"/>
      <c r="C223" s="163" t="s">
        <v>16</v>
      </c>
      <c r="D223" s="574" t="s">
        <v>20</v>
      </c>
      <c r="E223" s="575"/>
      <c r="F223" s="575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19295</v>
      </c>
      <c r="M224" s="173">
        <f ca="1">IFERROR(__xludf.DUMMYFUNCTION("IMPORTRANGE(""https://docs.google.com/spreadsheets/d/1Yj_ptqi66GCucihVvJfMjLAmec39IyEx_6qawtMGysU/edit?usp=sharing"",""สบก!BS81"")"),19295)</f>
        <v>19295</v>
      </c>
      <c r="N224" s="174">
        <f ca="1">IFERROR(__xludf.DUMMYFUNCTION("IMPORTRANGE(""https://docs.google.com/spreadsheets/d/1Yj_ptqi66GCucihVvJfMjLAmec39IyEx_6qawtMGysU/edit?usp=sharing"",""สบก!BT81"")"),19295)</f>
        <v>19295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IFERROR(__xludf.DUMMYFUNCTION("IMPORTRANGE(""https://docs.google.com/spreadsheets/d/1Yj_ptqi66GCucihVvJfMjLAmec39IyEx_6qawtMGysU/edit?usp=sharing"",""สบก!BO81"")"),0)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IFERROR(__xludf.DUMMYFUNCTION("IMPORTRANGE(""https://docs.google.com/spreadsheets/d/1Yj_ptqi66GCucihVvJfMjLAmec39IyEx_6qawtMGysU/edit?usp=sharing"",""สบก!BP81"")"),19295)</f>
        <v>19295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6" t="s">
        <v>23</v>
      </c>
      <c r="E227" s="575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IFERROR(__xludf.DUMMYFUNCTION("IMPORTRANGE(""https://docs.google.com/spreadsheets/d/1Yj_ptqi66GCucihVvJfMjLAmec39IyEx_6qawtMGysU/edit?usp=sharing"",""สบก!BQ81"")"),0)</f>
        <v>0</v>
      </c>
      <c r="M228" s="101"/>
      <c r="N228" s="91">
        <f ca="1">IFERROR(__xludf.DUMMYFUNCTION("IMPORTRANGE(""https://docs.google.com/spreadsheets/d/1Yj_ptqi66GCucihVvJfMjLAmec39IyEx_6qawtMGysU/edit?usp=sharing"",""สบก!BU81"")"),0)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IFERROR(__xludf.DUMMYFUNCTION("IMPORTRANGE(""https://docs.google.com/spreadsheets/d/1IYY_tgx_IHuhSq3AJ5eI5OnqOPBNLWSHKh2a30DoXe8/edit?usp=sharing"",""กระบี่!I149"")"),13)</f>
        <v>13</v>
      </c>
      <c r="J229" s="273">
        <f ca="1">IFERROR(__xludf.DUMMYFUNCTION("IMPORTRANGE(""https://docs.google.com/spreadsheets/d/1IYY_tgx_IHuhSq3AJ5eI5OnqOPBNLWSHKh2a30DoXe8/edit?usp=sharing"",""กระบี่!J149"")"),13)</f>
        <v>13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IFERROR(__xludf.DUMMYFUNCTION("IMPORTRANGE(""https://docs.google.com/spreadsheets/d/1IYY_tgx_IHuhSq3AJ5eI5OnqOPBNLWSHKh2a30DoXe8/edit?usp=sharing"",""กระบี่!J151"")"),0)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IFERROR(__xludf.DUMMYFUNCTION("IMPORTRANGE(""https://docs.google.com/spreadsheets/d/1IYY_tgx_IHuhSq3AJ5eI5OnqOPBNLWSHKh2a30DoXe8/edit?usp=sharing"",""กระบี่!J152"")"),1)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IFERROR(__xludf.DUMMYFUNCTION("IMPORTRANGE(""https://docs.google.com/spreadsheets/d/1IYY_tgx_IHuhSq3AJ5eI5OnqOPBNLWSHKh2a30DoXe8/edit?usp=sharing"",""กระบี่!J153"")"),1)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IFERROR(__xludf.DUMMYFUNCTION("IMPORTRANGE(""https://docs.google.com/spreadsheets/d/1IYY_tgx_IHuhSq3AJ5eI5OnqOPBNLWSHKh2a30DoXe8/edit?usp=sharing"",""กระบี่!J154"")"),1)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IFERROR(__xludf.DUMMYFUNCTION("IMPORTRANGE(""https://docs.google.com/spreadsheets/d/1IYY_tgx_IHuhSq3AJ5eI5OnqOPBNLWSHKh2a30DoXe8/edit?usp=sharing"",""กระบี่!I155"")"),13)</f>
        <v>13</v>
      </c>
      <c r="J235" s="195">
        <f ca="1">IFERROR(__xludf.DUMMYFUNCTION("IMPORTRANGE(""https://docs.google.com/spreadsheets/d/1IYY_tgx_IHuhSq3AJ5eI5OnqOPBNLWSHKh2a30DoXe8/edit?usp=sharing"",""กระบี่!J155"")"),13)</f>
        <v>13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IFERROR(__xludf.DUMMYFUNCTION("IMPORTRANGE(""https://docs.google.com/spreadsheets/d/1IYY_tgx_IHuhSq3AJ5eI5OnqOPBNLWSHKh2a30DoXe8/edit?usp=sharing"",""กระบี่!J156"")"),1)</f>
        <v>1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IFERROR(__xludf.DUMMYFUNCTION("IMPORTRANGE(""https://docs.google.com/spreadsheets/d/1IYY_tgx_IHuhSq3AJ5eI5OnqOPBNLWSHKh2a30DoXe8/edit?usp=sharing"",""กระบี่!J157"")"),1)</f>
        <v>1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IFERROR(__xludf.DUMMYFUNCTION("IMPORTRANGE(""https://docs.google.com/spreadsheets/d/1IYY_tgx_IHuhSq3AJ5eI5OnqOPBNLWSHKh2a30DoXe8/edit?usp=sharing"",""กระบี่!I158"")"),0)</f>
        <v>0</v>
      </c>
      <c r="J238" s="273">
        <f ca="1">IFERROR(__xludf.DUMMYFUNCTION("IMPORTRANGE(""https://docs.google.com/spreadsheets/d/1IYY_tgx_IHuhSq3AJ5eI5OnqOPBNLWSHKh2a30DoXe8/edit?usp=sharing"",""กระบี่!J158"")"),0)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IFERROR(__xludf.DUMMYFUNCTION("IMPORTRANGE(""https://docs.google.com/spreadsheets/d/1IYY_tgx_IHuhSq3AJ5eI5OnqOPBNLWSHKh2a30DoXe8/edit?usp=sharing"",""กระบี่!J159"")"),"")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IFERROR(__xludf.DUMMYFUNCTION("IMPORTRANGE(""https://docs.google.com/spreadsheets/d/1IYY_tgx_IHuhSq3AJ5eI5OnqOPBNLWSHKh2a30DoXe8/edit?usp=sharing"",""กระบี่!J161"")"),0)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IFERROR(__xludf.DUMMYFUNCTION("IMPORTRANGE(""https://docs.google.com/spreadsheets/d/1IYY_tgx_IHuhSq3AJ5eI5OnqOPBNLWSHKh2a30DoXe8/edit?usp=sharing"",""กระบี่!J162"")"),0)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IFERROR(__xludf.DUMMYFUNCTION("IMPORTRANGE(""https://docs.google.com/spreadsheets/d/1IYY_tgx_IHuhSq3AJ5eI5OnqOPBNLWSHKh2a30DoXe8/edit?usp=sharing"",""กระบี่!J163"")"),0)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IFERROR(__xludf.DUMMYFUNCTION("IMPORTRANGE(""https://docs.google.com/spreadsheets/d/1IYY_tgx_IHuhSq3AJ5eI5OnqOPBNLWSHKh2a30DoXe8/edit?usp=sharing"",""กระบี่!I164"")"),0)</f>
        <v>0</v>
      </c>
      <c r="J244" s="194">
        <f ca="1">IFERROR(__xludf.DUMMYFUNCTION("IMPORTRANGE(""https://docs.google.com/spreadsheets/d/1IYY_tgx_IHuhSq3AJ5eI5OnqOPBNLWSHKh2a30DoXe8/edit?usp=sharing"",""กระบี่!J164"")"),0)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IFERROR(__xludf.DUMMYFUNCTION("IMPORTRANGE(""https://docs.google.com/spreadsheets/d/1IYY_tgx_IHuhSq3AJ5eI5OnqOPBNLWSHKh2a30DoXe8/edit?usp=sharing"",""กระบี่!J165"")"),0)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IFERROR(__xludf.DUMMYFUNCTION("IMPORTRANGE(""https://docs.google.com/spreadsheets/d/1IYY_tgx_IHuhSq3AJ5eI5OnqOPBNLWSHKh2a30DoXe8/edit?usp=sharing"",""กระบี่!J166"")"),0)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IFERROR(__xludf.DUMMYFUNCTION("IMPORTRANGE(""https://docs.google.com/spreadsheets/d/1IYY_tgx_IHuhSq3AJ5eI5OnqOPBNLWSHKh2a30DoXe8/edit?usp=sharing"",""กระบี่!I169"")"),0)</f>
        <v>0</v>
      </c>
      <c r="J249" s="322">
        <f ca="1">IFERROR(__xludf.DUMMYFUNCTION("IMPORTRANGE(""https://docs.google.com/spreadsheets/d/1IYY_tgx_IHuhSq3AJ5eI5OnqOPBNLWSHKh2a30DoXe8/edit?usp=sharing"",""กระบี่!J169"")"),0)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2" t="s">
        <v>17</v>
      </c>
      <c r="E250" s="573"/>
      <c r="F250" s="573"/>
      <c r="G250" s="573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3">
      <c r="A253" s="162"/>
      <c r="B253" s="163"/>
      <c r="C253" s="163" t="s">
        <v>16</v>
      </c>
      <c r="D253" s="574" t="s">
        <v>20</v>
      </c>
      <c r="E253" s="575"/>
      <c r="F253" s="575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IFERROR(__xludf.DUMMYFUNCTION("IMPORTRANGE(""https://docs.google.com/spreadsheets/d/1Yj_ptqi66GCucihVvJfMjLAmec39IyEx_6qawtMGysU/edit?usp=sharing"",""สบก!CB81"")"),0)</f>
        <v>0</v>
      </c>
      <c r="N254" s="174">
        <f ca="1">IFERROR(__xludf.DUMMYFUNCTION("IMPORTRANGE(""https://docs.google.com/spreadsheets/d/1Yj_ptqi66GCucihVvJfMjLAmec39IyEx_6qawtMGysU/edit?usp=sharing"",""สบก!CC81"")"),0)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IFERROR(__xludf.DUMMYFUNCTION("IMPORTRANGE(""https://docs.google.com/spreadsheets/d/1Yj_ptqi66GCucihVvJfMjLAmec39IyEx_6qawtMGysU/edit?usp=sharing"",""สบก!BX81"")"),0)</f>
        <v>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IFERROR(__xludf.DUMMYFUNCTION("IMPORTRANGE(""https://docs.google.com/spreadsheets/d/1Yj_ptqi66GCucihVvJfMjLAmec39IyEx_6qawtMGysU/edit?usp=sharing"",""สบก!BY81"")"),0)</f>
        <v>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6" t="s">
        <v>23</v>
      </c>
      <c r="E257" s="575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IFERROR(__xludf.DUMMYFUNCTION("IMPORTRANGE(""https://docs.google.com/spreadsheets/d/1Yj_ptqi66GCucihVvJfMjLAmec39IyEx_6qawtMGysU/edit?usp=sharing"",""สบก!BZ81"")"),0)</f>
        <v>0</v>
      </c>
      <c r="M258" s="101"/>
      <c r="N258" s="91">
        <f ca="1">IFERROR(__xludf.DUMMYFUNCTION("IMPORTRANGE(""https://docs.google.com/spreadsheets/d/1Yj_ptqi66GCucihVvJfMjLAmec39IyEx_6qawtMGysU/edit?usp=sharing"",""สบก!CD81"")"),0)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IFERROR(__xludf.DUMMYFUNCTION("IMPORTRANGE(""https://docs.google.com/spreadsheets/d/1IYY_tgx_IHuhSq3AJ5eI5OnqOPBNLWSHKh2a30DoXe8/edit?usp=sharing"",""กระบี่!J175"")"),0)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IFERROR(__xludf.DUMMYFUNCTION("IMPORTRANGE(""https://docs.google.com/spreadsheets/d/1IYY_tgx_IHuhSq3AJ5eI5OnqOPBNLWSHKh2a30DoXe8/edit?usp=sharing"",""กระบี่!J176"")"),0)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IFERROR(__xludf.DUMMYFUNCTION("IMPORTRANGE(""https://docs.google.com/spreadsheets/d/1IYY_tgx_IHuhSq3AJ5eI5OnqOPBNLWSHKh2a30DoXe8/edit?usp=sharing"",""กระบี่!J177"")"),0)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IFERROR(__xludf.DUMMYFUNCTION("IMPORTRANGE(""https://docs.google.com/spreadsheets/d/1IYY_tgx_IHuhSq3AJ5eI5OnqOPBNLWSHKh2a30DoXe8/edit?usp=sharing"",""กระบี่!J178"")"),0)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IFERROR(__xludf.DUMMYFUNCTION("IMPORTRANGE(""https://docs.google.com/spreadsheets/d/1IYY_tgx_IHuhSq3AJ5eI5OnqOPBNLWSHKh2a30DoXe8/edit?usp=sharing"",""กระบี่!I179"")"),0)</f>
        <v>0</v>
      </c>
      <c r="J264" s="195">
        <f ca="1">IFERROR(__xludf.DUMMYFUNCTION("IMPORTRANGE(""https://docs.google.com/spreadsheets/d/1IYY_tgx_IHuhSq3AJ5eI5OnqOPBNLWSHKh2a30DoXe8/edit?usp=sharing"",""กระบี่!J179"")"),0)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IFERROR(__xludf.DUMMYFUNCTION("IMPORTRANGE(""https://docs.google.com/spreadsheets/d/1IYY_tgx_IHuhSq3AJ5eI5OnqOPBNLWSHKh2a30DoXe8/edit?usp=sharing"",""กระบี่!I180"")"),0)</f>
        <v>0</v>
      </c>
      <c r="J265" s="195">
        <f ca="1">IFERROR(__xludf.DUMMYFUNCTION("IMPORTRANGE(""https://docs.google.com/spreadsheets/d/1IYY_tgx_IHuhSq3AJ5eI5OnqOPBNLWSHKh2a30DoXe8/edit?usp=sharing"",""กระบี่!J180"")"),0)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IFERROR(__xludf.DUMMYFUNCTION("IMPORTRANGE(""https://docs.google.com/spreadsheets/d/1IYY_tgx_IHuhSq3AJ5eI5OnqOPBNLWSHKh2a30DoXe8/edit?usp=sharing"",""กระบี่!I181"")"),0)</f>
        <v>0</v>
      </c>
      <c r="J266" s="195">
        <f ca="1">IFERROR(__xludf.DUMMYFUNCTION("IMPORTRANGE(""https://docs.google.com/spreadsheets/d/1IYY_tgx_IHuhSq3AJ5eI5OnqOPBNLWSHKh2a30DoXe8/edit?usp=sharing"",""กระบี่!J181"")"),0)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IFERROR(__xludf.DUMMYFUNCTION("IMPORTRANGE(""https://docs.google.com/spreadsheets/d/1IYY_tgx_IHuhSq3AJ5eI5OnqOPBNLWSHKh2a30DoXe8/edit?usp=sharing"",""กระบี่!I182"")"),0)</f>
        <v>0</v>
      </c>
      <c r="J267" s="195">
        <f ca="1">IFERROR(__xludf.DUMMYFUNCTION("IMPORTRANGE(""https://docs.google.com/spreadsheets/d/1IYY_tgx_IHuhSq3AJ5eI5OnqOPBNLWSHKh2a30DoXe8/edit?usp=sharing"",""กระบี่!J182"")"),0)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IFERROR(__xludf.DUMMYFUNCTION("IMPORTRANGE(""https://docs.google.com/spreadsheets/d/1IYY_tgx_IHuhSq3AJ5eI5OnqOPBNLWSHKh2a30DoXe8/edit?usp=sharing"",""กระบี่!J183"")"),0)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IFERROR(__xludf.DUMMYFUNCTION("IMPORTRANGE(""https://docs.google.com/spreadsheets/d/1IYY_tgx_IHuhSq3AJ5eI5OnqOPBNLWSHKh2a30DoXe8/edit?usp=sharing"",""กระบี่!J184"")"),0)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IFERROR(__xludf.DUMMYFUNCTION("IMPORTRANGE(""https://docs.google.com/spreadsheets/d/1IYY_tgx_IHuhSq3AJ5eI5OnqOPBNLWSHKh2a30DoXe8/edit?usp=sharing"",""กระบี่!I185"")"),0)</f>
        <v>0</v>
      </c>
      <c r="J270" s="322">
        <f ca="1">IFERROR(__xludf.DUMMYFUNCTION("IMPORTRANGE(""https://docs.google.com/spreadsheets/d/1IYY_tgx_IHuhSq3AJ5eI5OnqOPBNLWSHKh2a30DoXe8/edit?usp=sharing"",""กระบี่!J185"")"),0)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2" t="s">
        <v>17</v>
      </c>
      <c r="E271" s="573"/>
      <c r="F271" s="573"/>
      <c r="G271" s="573"/>
      <c r="H271" s="153" t="s">
        <v>12</v>
      </c>
      <c r="I271" s="166"/>
      <c r="J271" s="166"/>
      <c r="K271" s="167"/>
      <c r="L271" s="156">
        <f t="shared" ref="L271:N271" ca="1" si="83">L272+L273</f>
        <v>0</v>
      </c>
      <c r="M271" s="156">
        <f t="shared" ca="1" si="83"/>
        <v>0</v>
      </c>
      <c r="N271" s="156">
        <f t="shared" ca="1" si="83"/>
        <v>0</v>
      </c>
      <c r="O271" s="155">
        <f t="shared" ref="O271:O273" ca="1" si="84">IF(L271&gt;0,N271*100/L271,0)</f>
        <v>0</v>
      </c>
      <c r="P271" s="155">
        <f t="shared" ref="P271:P273" ca="1" si="85">IF(M271&gt;0,N271*100/M271,0)</f>
        <v>0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0</v>
      </c>
      <c r="M273" s="161">
        <f t="shared" ca="1" si="87"/>
        <v>0</v>
      </c>
      <c r="N273" s="161">
        <f t="shared" ca="1" si="87"/>
        <v>0</v>
      </c>
      <c r="O273" s="160">
        <f t="shared" ca="1" si="84"/>
        <v>0</v>
      </c>
      <c r="P273" s="160">
        <f t="shared" ca="1" si="85"/>
        <v>0</v>
      </c>
    </row>
    <row r="274" spans="1:16" ht="21.75" customHeight="1" x14ac:dyDescent="0.3">
      <c r="A274" s="162"/>
      <c r="B274" s="163"/>
      <c r="C274" s="163" t="s">
        <v>16</v>
      </c>
      <c r="D274" s="574" t="s">
        <v>20</v>
      </c>
      <c r="E274" s="575"/>
      <c r="F274" s="575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0</v>
      </c>
      <c r="M275" s="173">
        <f ca="1">IFERROR(__xludf.DUMMYFUNCTION("IMPORTRANGE(""https://docs.google.com/spreadsheets/d/1Yj_ptqi66GCucihVvJfMjLAmec39IyEx_6qawtMGysU/edit?usp=sharing"",""สบก!CK81"")"),0)</f>
        <v>0</v>
      </c>
      <c r="N275" s="174">
        <f ca="1">IFERROR(__xludf.DUMMYFUNCTION("IMPORTRANGE(""https://docs.google.com/spreadsheets/d/1Yj_ptqi66GCucihVvJfMjLAmec39IyEx_6qawtMGysU/edit?usp=sharing"",""สบก!CL81"")"),0)</f>
        <v>0</v>
      </c>
      <c r="O275" s="175">
        <f ca="1">IF(L275&gt;0,N275*100/L275,0)</f>
        <v>0</v>
      </c>
      <c r="P275" s="175">
        <f ca="1">IF(M275&gt;0,N275*100/M275,0)</f>
        <v>0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IFERROR(__xludf.DUMMYFUNCTION("IMPORTRANGE(""https://docs.google.com/spreadsheets/d/1Yj_ptqi66GCucihVvJfMjLAmec39IyEx_6qawtMGysU/edit?usp=sharing"",""สบก!CG81"")"),0)</f>
        <v>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IFERROR(__xludf.DUMMYFUNCTION("IMPORTRANGE(""https://docs.google.com/spreadsheets/d/1Yj_ptqi66GCucihVvJfMjLAmec39IyEx_6qawtMGysU/edit?usp=sharing"",""สบก!CH81"")"),0)</f>
        <v>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6" t="s">
        <v>23</v>
      </c>
      <c r="E278" s="575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IFERROR(__xludf.DUMMYFUNCTION("IMPORTRANGE(""https://docs.google.com/spreadsheets/d/1Yj_ptqi66GCucihVvJfMjLAmec39IyEx_6qawtMGysU/edit?usp=sharing"",""สบก!CI81"")"),0)</f>
        <v>0</v>
      </c>
      <c r="M279" s="101"/>
      <c r="N279" s="91">
        <f ca="1">IFERROR(__xludf.DUMMYFUNCTION("IMPORTRANGE(""https://docs.google.com/spreadsheets/d/1Yj_ptqi66GCucihVvJfMjLAmec39IyEx_6qawtMGysU/edit?usp=sharing"",""สบก!CM81"")"),0)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IFERROR(__xludf.DUMMYFUNCTION("IMPORTRANGE(""https://docs.google.com/spreadsheets/d/1IYY_tgx_IHuhSq3AJ5eI5OnqOPBNLWSHKh2a30DoXe8/edit?usp=sharing"",""กระบี่!J191"")"),0)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IFERROR(__xludf.DUMMYFUNCTION("IMPORTRANGE(""https://docs.google.com/spreadsheets/d/1IYY_tgx_IHuhSq3AJ5eI5OnqOPBNLWSHKh2a30DoXe8/edit?usp=sharing"",""กระบี่!J192"")"),0)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IFERROR(__xludf.DUMMYFUNCTION("IMPORTRANGE(""https://docs.google.com/spreadsheets/d/1IYY_tgx_IHuhSq3AJ5eI5OnqOPBNLWSHKh2a30DoXe8/edit?usp=sharing"",""กระบี่!J193"")"),0)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IFERROR(__xludf.DUMMYFUNCTION("IMPORTRANGE(""https://docs.google.com/spreadsheets/d/1IYY_tgx_IHuhSq3AJ5eI5OnqOPBNLWSHKh2a30DoXe8/edit?usp=sharing"",""กระบี่!J194"")"),0)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IFERROR(__xludf.DUMMYFUNCTION("IMPORTRANGE(""https://docs.google.com/spreadsheets/d/1IYY_tgx_IHuhSq3AJ5eI5OnqOPBNLWSHKh2a30DoXe8/edit?usp=sharing"",""กระบี่!I195"")"),0)</f>
        <v>0</v>
      </c>
      <c r="J285" s="195">
        <f ca="1">IFERROR(__xludf.DUMMYFUNCTION("IMPORTRANGE(""https://docs.google.com/spreadsheets/d/1IYY_tgx_IHuhSq3AJ5eI5OnqOPBNLWSHKh2a30DoXe8/edit?usp=sharing"",""กระบี่!J195"")"),0)</f>
        <v>0</v>
      </c>
      <c r="K285" s="167">
        <f ca="1">IF(I285&gt;0,J285*100/I285,0)</f>
        <v>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IFERROR(__xludf.DUMMYFUNCTION("IMPORTRANGE(""https://docs.google.com/spreadsheets/d/1IYY_tgx_IHuhSq3AJ5eI5OnqOPBNLWSHKh2a30DoXe8/edit?usp=sharing"",""กระบี่!J196"")"),0)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IFERROR(__xludf.DUMMYFUNCTION("IMPORTRANGE(""https://docs.google.com/spreadsheets/d/1IYY_tgx_IHuhSq3AJ5eI5OnqOPBNLWSHKh2a30DoXe8/edit?usp=sharing"",""กระบี่!J197"")"),0)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IFERROR(__xludf.DUMMYFUNCTION("IMPORTRANGE(""https://docs.google.com/spreadsheets/d/1IYY_tgx_IHuhSq3AJ5eI5OnqOPBNLWSHKh2a30DoXe8/edit?usp=sharing"",""กระบี่!I199"")"),65)</f>
        <v>65</v>
      </c>
      <c r="J289" s="322">
        <f ca="1">IFERROR(__xludf.DUMMYFUNCTION("IMPORTRANGE(""https://docs.google.com/spreadsheets/d/1IYY_tgx_IHuhSq3AJ5eI5OnqOPBNLWSHKh2a30DoXe8/edit?usp=sharing"",""กระบี่!J199"")"),65)</f>
        <v>65</v>
      </c>
      <c r="K289" s="323">
        <f ca="1">IF(I289&gt;0,J289*100/I289,0)</f>
        <v>100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2" t="s">
        <v>17</v>
      </c>
      <c r="E290" s="573"/>
      <c r="F290" s="573"/>
      <c r="G290" s="573"/>
      <c r="H290" s="153" t="s">
        <v>12</v>
      </c>
      <c r="I290" s="194"/>
      <c r="J290" s="194"/>
      <c r="K290" s="230"/>
      <c r="L290" s="156">
        <f t="shared" ref="L290:N290" ca="1" si="88">L291+L292</f>
        <v>665740</v>
      </c>
      <c r="M290" s="156">
        <f t="shared" ca="1" si="88"/>
        <v>665740</v>
      </c>
      <c r="N290" s="156">
        <f t="shared" ca="1" si="88"/>
        <v>664341</v>
      </c>
      <c r="O290" s="155">
        <f t="shared" ref="O290:O292" ca="1" si="89">IF(L290&gt;0,N290*100/L290,0)</f>
        <v>99.789857902484457</v>
      </c>
      <c r="P290" s="155">
        <f t="shared" ref="P290:P292" ca="1" si="90">IF(M290&gt;0,N290*100/M290,0)</f>
        <v>99.789857902484457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665740</v>
      </c>
      <c r="M292" s="161">
        <f t="shared" ca="1" si="92"/>
        <v>665740</v>
      </c>
      <c r="N292" s="161">
        <f t="shared" ca="1" si="92"/>
        <v>664341</v>
      </c>
      <c r="O292" s="160">
        <f t="shared" ca="1" si="89"/>
        <v>99.789857902484457</v>
      </c>
      <c r="P292" s="160">
        <f t="shared" ca="1" si="90"/>
        <v>99.789857902484457</v>
      </c>
    </row>
    <row r="293" spans="1:16" ht="21.75" customHeight="1" x14ac:dyDescent="0.3">
      <c r="A293" s="162"/>
      <c r="B293" s="163"/>
      <c r="C293" s="163" t="s">
        <v>16</v>
      </c>
      <c r="D293" s="574" t="s">
        <v>20</v>
      </c>
      <c r="E293" s="575"/>
      <c r="F293" s="575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195740</v>
      </c>
      <c r="M294" s="173">
        <f ca="1">IFERROR(__xludf.DUMMYFUNCTION("IMPORTRANGE(""https://docs.google.com/spreadsheets/d/1Yj_ptqi66GCucihVvJfMjLAmec39IyEx_6qawtMGysU/edit?usp=sharing"",""สบก!CT81"")"),195740)</f>
        <v>195740</v>
      </c>
      <c r="N294" s="174">
        <f ca="1">IFERROR(__xludf.DUMMYFUNCTION("IMPORTRANGE(""https://docs.google.com/spreadsheets/d/1Yj_ptqi66GCucihVvJfMjLAmec39IyEx_6qawtMGysU/edit?usp=sharing"",""สบก!CU81"")"),194341)</f>
        <v>194341</v>
      </c>
      <c r="O294" s="175">
        <f ca="1">IF(L294&gt;0,N294*100/L294,0)</f>
        <v>99.285276387044036</v>
      </c>
      <c r="P294" s="175">
        <f ca="1">IF(M294&gt;0,N294*100/M294,0)</f>
        <v>99.285276387044036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IFERROR(__xludf.DUMMYFUNCTION("IMPORTRANGE(""https://docs.google.com/spreadsheets/d/1Yj_ptqi66GCucihVvJfMjLAmec39IyEx_6qawtMGysU/edit?usp=sharing"",""สบก!CP81"")"),0)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IFERROR(__xludf.DUMMYFUNCTION("IMPORTRANGE(""https://docs.google.com/spreadsheets/d/1Yj_ptqi66GCucihVvJfMjLAmec39IyEx_6qawtMGysU/edit?usp=sharing"",""สบก!CQ81"")"),195740)</f>
        <v>195740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6" t="s">
        <v>23</v>
      </c>
      <c r="E297" s="575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IFERROR(__xludf.DUMMYFUNCTION("IMPORTRANGE(""https://docs.google.com/spreadsheets/d/1Yj_ptqi66GCucihVvJfMjLAmec39IyEx_6qawtMGysU/edit?usp=sharing"",""สบก!CR81"")"),470000)</f>
        <v>470000</v>
      </c>
      <c r="M298" s="101">
        <f ca="1">L298</f>
        <v>470000</v>
      </c>
      <c r="N298" s="91">
        <f ca="1">IFERROR(__xludf.DUMMYFUNCTION("IMPORTRANGE(""https://docs.google.com/spreadsheets/d/1Yj_ptqi66GCucihVvJfMjLAmec39IyEx_6qawtMGysU/edit?usp=sharing"",""สบก!CV81"")"),470000)</f>
        <v>470000</v>
      </c>
      <c r="O298" s="101">
        <f ca="1">IF(L298&gt;0,N298*100/L298,0)</f>
        <v>100</v>
      </c>
      <c r="P298" s="101">
        <f ca="1">IF(M298&gt;0,N298*100/M298,0)</f>
        <v>100</v>
      </c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IFERROR(__xludf.DUMMYFUNCTION("IMPORTRANGE(""https://docs.google.com/spreadsheets/d/1IYY_tgx_IHuhSq3AJ5eI5OnqOPBNLWSHKh2a30DoXe8/edit?usp=sharing"",""กระบี่!J205"")"),0)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IFERROR(__xludf.DUMMYFUNCTION("IMPORTRANGE(""https://docs.google.com/spreadsheets/d/1IYY_tgx_IHuhSq3AJ5eI5OnqOPBNLWSHKh2a30DoXe8/edit?usp=sharing"",""กระบี่!J206"")"),1)</f>
        <v>1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IFERROR(__xludf.DUMMYFUNCTION("IMPORTRANGE(""https://docs.google.com/spreadsheets/d/1IYY_tgx_IHuhSq3AJ5eI5OnqOPBNLWSHKh2a30DoXe8/edit?usp=sharing"",""กระบี่!J207"")"),1)</f>
        <v>1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IFERROR(__xludf.DUMMYFUNCTION("IMPORTRANGE(""https://docs.google.com/spreadsheets/d/1IYY_tgx_IHuhSq3AJ5eI5OnqOPBNLWSHKh2a30DoXe8/edit?usp=sharing"",""กระบี่!J208"")"),1)</f>
        <v>1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IFERROR(__xludf.DUMMYFUNCTION("IMPORTRANGE(""https://docs.google.com/spreadsheets/d/1IYY_tgx_IHuhSq3AJ5eI5OnqOPBNLWSHKh2a30DoXe8/edit?usp=sharing"",""กระบี่!I209"")"),65)</f>
        <v>65</v>
      </c>
      <c r="J304" s="210">
        <f ca="1">IFERROR(__xludf.DUMMYFUNCTION("IMPORTRANGE(""https://docs.google.com/spreadsheets/d/1IYY_tgx_IHuhSq3AJ5eI5OnqOPBNLWSHKh2a30DoXe8/edit?usp=sharing"",""กระบี่!J209"")"),65)</f>
        <v>65</v>
      </c>
      <c r="K304" s="230">
        <f ca="1">IF(I304&gt;0,J304*100/I304,0)</f>
        <v>100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IFERROR(__xludf.DUMMYFUNCTION("IMPORTRANGE(""https://docs.google.com/spreadsheets/d/1IYY_tgx_IHuhSq3AJ5eI5OnqOPBNLWSHKh2a30DoXe8/edit?usp=sharing"",""กระบี่!I211"")"),65)</f>
        <v>65</v>
      </c>
      <c r="J306" s="210">
        <f ca="1">IFERROR(__xludf.DUMMYFUNCTION("IMPORTRANGE(""https://docs.google.com/spreadsheets/d/1IYY_tgx_IHuhSq3AJ5eI5OnqOPBNLWSHKh2a30DoXe8/edit?usp=sharing"",""กระบี่!J211"")"),0)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IFERROR(__xludf.DUMMYFUNCTION("IMPORTRANGE(""https://docs.google.com/spreadsheets/d/1IYY_tgx_IHuhSq3AJ5eI5OnqOPBNLWSHKh2a30DoXe8/edit?usp=sharing"",""กระบี่!J212"")"),0)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IFERROR(__xludf.DUMMYFUNCTION("IMPORTRANGE(""https://docs.google.com/spreadsheets/d/1IYY_tgx_IHuhSq3AJ5eI5OnqOPBNLWSHKh2a30DoXe8/edit?usp=sharing"",""กระบี่!J213"")"),0)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IFERROR(__xludf.DUMMYFUNCTION("IMPORTRANGE(""https://docs.google.com/spreadsheets/d/1IYY_tgx_IHuhSq3AJ5eI5OnqOPBNLWSHKh2a30DoXe8/edit?usp=sharing"",""กระบี่!I214"")"),2)</f>
        <v>2</v>
      </c>
      <c r="J309" s="339">
        <f ca="1">IFERROR(__xludf.DUMMYFUNCTION("IMPORTRANGE(""https://docs.google.com/spreadsheets/d/1IYY_tgx_IHuhSq3AJ5eI5OnqOPBNLWSHKh2a30DoXe8/edit?usp=sharing"",""กระบี่!J214"")"),2)</f>
        <v>2</v>
      </c>
      <c r="K309" s="340">
        <f ca="1">IF(I309&gt;0,J309*100/I309,0)</f>
        <v>100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2" t="s">
        <v>17</v>
      </c>
      <c r="E310" s="573"/>
      <c r="F310" s="573"/>
      <c r="G310" s="573"/>
      <c r="H310" s="153" t="s">
        <v>12</v>
      </c>
      <c r="I310" s="342"/>
      <c r="J310" s="342"/>
      <c r="K310" s="343"/>
      <c r="L310" s="156">
        <f t="shared" ref="L310:N310" ca="1" si="93">L311+L312</f>
        <v>5252600</v>
      </c>
      <c r="M310" s="156">
        <f t="shared" ca="1" si="93"/>
        <v>5252600</v>
      </c>
      <c r="N310" s="156">
        <f t="shared" ca="1" si="93"/>
        <v>1717753.47</v>
      </c>
      <c r="O310" s="155">
        <f t="shared" ref="O310:O312" ca="1" si="94">IF(L310&gt;0,N310*100/L310,0)</f>
        <v>32.702917983474848</v>
      </c>
      <c r="P310" s="155">
        <f t="shared" ref="P310:P312" ca="1" si="95">IF(M310&gt;0,N310*100/M310,0)</f>
        <v>32.702917983474848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5252600</v>
      </c>
      <c r="M312" s="161">
        <f t="shared" ca="1" si="97"/>
        <v>5252600</v>
      </c>
      <c r="N312" s="161">
        <f t="shared" ca="1" si="97"/>
        <v>1717753.47</v>
      </c>
      <c r="O312" s="160">
        <f t="shared" ca="1" si="94"/>
        <v>32.702917983474848</v>
      </c>
      <c r="P312" s="160">
        <f t="shared" ca="1" si="95"/>
        <v>32.702917983474848</v>
      </c>
    </row>
    <row r="313" spans="1:16" ht="21.75" customHeight="1" x14ac:dyDescent="0.3">
      <c r="A313" s="162"/>
      <c r="B313" s="163"/>
      <c r="C313" s="163" t="s">
        <v>16</v>
      </c>
      <c r="D313" s="574" t="s">
        <v>20</v>
      </c>
      <c r="E313" s="575"/>
      <c r="F313" s="575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389600</v>
      </c>
      <c r="M314" s="173">
        <f ca="1">IFERROR(__xludf.DUMMYFUNCTION("IMPORTRANGE(""https://docs.google.com/spreadsheets/d/1Yj_ptqi66GCucihVvJfMjLAmec39IyEx_6qawtMGysU/edit?usp=sharing"",""สบก!DC81"")"),389600)</f>
        <v>389600</v>
      </c>
      <c r="N314" s="174">
        <f ca="1">IFERROR(__xludf.DUMMYFUNCTION("IMPORTRANGE(""https://docs.google.com/spreadsheets/d/1Yj_ptqi66GCucihVvJfMjLAmec39IyEx_6qawtMGysU/edit?usp=sharing"",""สบก!DD81"")"),354753.47)</f>
        <v>354753.47</v>
      </c>
      <c r="O314" s="175">
        <f ca="1">IF(L314&gt;0,N314*100/L314,0)</f>
        <v>91.055818788501028</v>
      </c>
      <c r="P314" s="175">
        <f ca="1">IF(M314&gt;0,N314*100/M314,0)</f>
        <v>91.055818788501028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IFERROR(__xludf.DUMMYFUNCTION("IMPORTRANGE(""https://docs.google.com/spreadsheets/d/1Yj_ptqi66GCucihVvJfMjLAmec39IyEx_6qawtMGysU/edit?usp=sharing"",""สบก!CY81"")"),0)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IFERROR(__xludf.DUMMYFUNCTION("IMPORTRANGE(""https://docs.google.com/spreadsheets/d/1Yj_ptqi66GCucihVvJfMjLAmec39IyEx_6qawtMGysU/edit?usp=sharing"",""สบก!CZ81"")"),389600)</f>
        <v>389600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6" t="s">
        <v>23</v>
      </c>
      <c r="E317" s="575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IFERROR(__xludf.DUMMYFUNCTION("IMPORTRANGE(""https://docs.google.com/spreadsheets/d/1Yj_ptqi66GCucihVvJfMjLAmec39IyEx_6qawtMGysU/edit?usp=sharing"",""สบก!DA81"")"),4863000)</f>
        <v>4863000</v>
      </c>
      <c r="M318" s="101">
        <f ca="1">L318</f>
        <v>4863000</v>
      </c>
      <c r="N318" s="91">
        <f ca="1">IFERROR(__xludf.DUMMYFUNCTION("IMPORTRANGE(""https://docs.google.com/spreadsheets/d/1Yj_ptqi66GCucihVvJfMjLAmec39IyEx_6qawtMGysU/edit?usp=sharing"",""สบก!DE81"")"),1363000)</f>
        <v>1363000</v>
      </c>
      <c r="O318" s="101">
        <f ca="1">IF(L318&gt;0,N318*100/L318,0)</f>
        <v>28.02796627596134</v>
      </c>
      <c r="P318" s="101">
        <f ca="1">IF(M318&gt;0,N318*100/M318,0)</f>
        <v>28.02796627596134</v>
      </c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IFERROR(__xludf.DUMMYFUNCTION("IMPORTRANGE(""https://docs.google.com/spreadsheets/d/1IYY_tgx_IHuhSq3AJ5eI5OnqOPBNLWSHKh2a30DoXe8/edit?usp=sharing"",""กระบี่!J220"")"),0)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IFERROR(__xludf.DUMMYFUNCTION("IMPORTRANGE(""https://docs.google.com/spreadsheets/d/1IYY_tgx_IHuhSq3AJ5eI5OnqOPBNLWSHKh2a30DoXe8/edit?usp=sharing"",""กระบี่!J221"")"),1)</f>
        <v>1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IFERROR(__xludf.DUMMYFUNCTION("IMPORTRANGE(""https://docs.google.com/spreadsheets/d/1IYY_tgx_IHuhSq3AJ5eI5OnqOPBNLWSHKh2a30DoXe8/edit?usp=sharing"",""กระบี่!J222"")"),1)</f>
        <v>1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IFERROR(__xludf.DUMMYFUNCTION("IMPORTRANGE(""https://docs.google.com/spreadsheets/d/1IYY_tgx_IHuhSq3AJ5eI5OnqOPBNLWSHKh2a30DoXe8/edit?usp=sharing"",""กระบี่!J223"")"),1)</f>
        <v>1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IFERROR(__xludf.DUMMYFUNCTION("IMPORTRANGE(""https://docs.google.com/spreadsheets/d/1IYY_tgx_IHuhSq3AJ5eI5OnqOPBNLWSHKh2a30DoXe8/edit?usp=sharing"",""กระบี่!I224"")"),2)</f>
        <v>2</v>
      </c>
      <c r="J324" s="210">
        <f ca="1">IFERROR(__xludf.DUMMYFUNCTION("IMPORTRANGE(""https://docs.google.com/spreadsheets/d/1IYY_tgx_IHuhSq3AJ5eI5OnqOPBNLWSHKh2a30DoXe8/edit?usp=sharing"",""กระบี่!J224"")"),2)</f>
        <v>2</v>
      </c>
      <c r="K324" s="230">
        <f ca="1">IF(I324&gt;0,J324*100/I324,0)</f>
        <v>100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IFERROR(__xludf.DUMMYFUNCTION("IMPORTRANGE(""https://docs.google.com/spreadsheets/d/1IYY_tgx_IHuhSq3AJ5eI5OnqOPBNLWSHKh2a30DoXe8/edit?usp=sharing"",""กระบี่!J225"")"),0)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IFERROR(__xludf.DUMMYFUNCTION("IMPORTRANGE(""https://docs.google.com/spreadsheets/d/1IYY_tgx_IHuhSq3AJ5eI5OnqOPBNLWSHKh2a30DoXe8/edit?usp=sharing"",""กระบี่!J226"")"),0)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IFERROR(__xludf.DUMMYFUNCTION("IMPORTRANGE(""https://docs.google.com/spreadsheets/d/1IYY_tgx_IHuhSq3AJ5eI5OnqOPBNLWSHKh2a30DoXe8/edit?usp=sharing"",""กระบี่!I228"")"),410)</f>
        <v>410</v>
      </c>
      <c r="J328" s="345">
        <f ca="1">IFERROR(__xludf.DUMMYFUNCTION("IMPORTRANGE(""https://docs.google.com/spreadsheets/d/1IYY_tgx_IHuhSq3AJ5eI5OnqOPBNLWSHKh2a30DoXe8/edit?usp=sharing"",""กระบี่!J228"")"),321)</f>
        <v>321</v>
      </c>
      <c r="K328" s="323">
        <f ca="1">IF(I328&gt;0,J328*100/I328,0)</f>
        <v>78.292682926829272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2" t="s">
        <v>17</v>
      </c>
      <c r="E329" s="573"/>
      <c r="F329" s="573"/>
      <c r="G329" s="573"/>
      <c r="H329" s="153" t="s">
        <v>12</v>
      </c>
      <c r="I329" s="166"/>
      <c r="J329" s="166"/>
      <c r="K329" s="167"/>
      <c r="L329" s="156">
        <f t="shared" ref="L329:N329" ca="1" si="98">L330+L331</f>
        <v>971320</v>
      </c>
      <c r="M329" s="156">
        <f t="shared" ca="1" si="98"/>
        <v>1131820</v>
      </c>
      <c r="N329" s="156">
        <f t="shared" ca="1" si="98"/>
        <v>755770.39</v>
      </c>
      <c r="O329" s="155">
        <f t="shared" ref="O329:O331" ca="1" si="99">IF(L329&gt;0,N329*100/L329,0)</f>
        <v>77.808589342338266</v>
      </c>
      <c r="P329" s="155">
        <f t="shared" ref="P329:P331" ca="1" si="100">IF(M329&gt;0,N329*100/M329,0)</f>
        <v>66.774786626848794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971320</v>
      </c>
      <c r="M331" s="161">
        <f t="shared" ca="1" si="102"/>
        <v>1131820</v>
      </c>
      <c r="N331" s="161">
        <f t="shared" ca="1" si="102"/>
        <v>755770.39</v>
      </c>
      <c r="O331" s="160">
        <f t="shared" ca="1" si="99"/>
        <v>77.808589342338266</v>
      </c>
      <c r="P331" s="160">
        <f t="shared" ca="1" si="100"/>
        <v>66.774786626848794</v>
      </c>
    </row>
    <row r="332" spans="1:16" ht="21.75" customHeight="1" x14ac:dyDescent="0.3">
      <c r="A332" s="162"/>
      <c r="B332" s="163"/>
      <c r="C332" s="163" t="s">
        <v>16</v>
      </c>
      <c r="D332" s="574" t="s">
        <v>20</v>
      </c>
      <c r="E332" s="575"/>
      <c r="F332" s="575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939750</v>
      </c>
      <c r="M333" s="173">
        <f ca="1">IFERROR(__xludf.DUMMYFUNCTION("IMPORTRANGE(""https://docs.google.com/spreadsheets/d/1Yj_ptqi66GCucihVvJfMjLAmec39IyEx_6qawtMGysU/edit?usp=sharing"",""สบก!DL81"")"),1100250)</f>
        <v>1100250</v>
      </c>
      <c r="N333" s="174">
        <f ca="1">IFERROR(__xludf.DUMMYFUNCTION("IMPORTRANGE(""https://docs.google.com/spreadsheets/d/1Yj_ptqi66GCucihVvJfMjLAmec39IyEx_6qawtMGysU/edit?usp=sharing"",""สบก!DM81"")"),724200.39)</f>
        <v>724200.39</v>
      </c>
      <c r="O333" s="175">
        <f ca="1">IF(L333&gt;0,N333*100/L333,0)</f>
        <v>77.063090183559453</v>
      </c>
      <c r="P333" s="175">
        <f ca="1">IF(M333&gt;0,N333*100/M333,0)</f>
        <v>65.821439672801631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IFERROR(__xludf.DUMMYFUNCTION("IMPORTRANGE(""https://docs.google.com/spreadsheets/d/1Yj_ptqi66GCucihVvJfMjLAmec39IyEx_6qawtMGysU/edit?usp=sharing"",""สบก!DH81"")"),306000)</f>
        <v>306000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IFERROR(__xludf.DUMMYFUNCTION("IMPORTRANGE(""https://docs.google.com/spreadsheets/d/1Yj_ptqi66GCucihVvJfMjLAmec39IyEx_6qawtMGysU/edit?usp=sharing"",""สบก!DI81"")"),633750)</f>
        <v>633750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6" t="s">
        <v>23</v>
      </c>
      <c r="E336" s="575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IFERROR(__xludf.DUMMYFUNCTION("IMPORTRANGE(""https://docs.google.com/spreadsheets/d/1Yj_ptqi66GCucihVvJfMjLAmec39IyEx_6qawtMGysU/edit?usp=sharing"",""สบก!DJ81"")"),31570)</f>
        <v>31570</v>
      </c>
      <c r="M337" s="101">
        <f ca="1">L337</f>
        <v>31570</v>
      </c>
      <c r="N337" s="91">
        <f ca="1">IFERROR(__xludf.DUMMYFUNCTION("IMPORTRANGE(""https://docs.google.com/spreadsheets/d/1Yj_ptqi66GCucihVvJfMjLAmec39IyEx_6qawtMGysU/edit?usp=sharing"",""สบก!DN81"")"),31570)</f>
        <v>31570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IFERROR(__xludf.DUMMYFUNCTION("IMPORTRANGE(""https://docs.google.com/spreadsheets/d/1IYY_tgx_IHuhSq3AJ5eI5OnqOPBNLWSHKh2a30DoXe8/edit?usp=sharing"",""กระบี่!I234"")"),0)</f>
        <v>0</v>
      </c>
      <c r="J339" s="194">
        <f ca="1">IFERROR(__xludf.DUMMYFUNCTION("IMPORTRANGE(""https://docs.google.com/spreadsheets/d/1IYY_tgx_IHuhSq3AJ5eI5OnqOPBNLWSHKh2a30DoXe8/edit?usp=sharing"",""กระบี่!J234"")"),399)</f>
        <v>399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IFERROR(__xludf.DUMMYFUNCTION("IMPORTRANGE(""https://docs.google.com/spreadsheets/d/1IYY_tgx_IHuhSq3AJ5eI5OnqOPBNLWSHKh2a30DoXe8/edit?usp=sharing"",""กระบี่!I235"")"),5000)</f>
        <v>5000</v>
      </c>
      <c r="J340" s="194">
        <f ca="1">IFERROR(__xludf.DUMMYFUNCTION("IMPORTRANGE(""https://docs.google.com/spreadsheets/d/1IYY_tgx_IHuhSq3AJ5eI5OnqOPBNLWSHKh2a30DoXe8/edit?usp=sharing"",""กระบี่!J235"")"),5436.16)</f>
        <v>5436.16</v>
      </c>
      <c r="K340" s="348">
        <f t="shared" ca="1" si="103"/>
        <v>108.72320000000001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IFERROR(__xludf.DUMMYFUNCTION("IMPORTRANGE(""https://docs.google.com/spreadsheets/d/1IYY_tgx_IHuhSq3AJ5eI5OnqOPBNLWSHKh2a30DoXe8/edit?usp=sharing"",""กระบี่!I236"")"),410)</f>
        <v>410</v>
      </c>
      <c r="J341" s="194">
        <f ca="1">IFERROR(__xludf.DUMMYFUNCTION("IMPORTRANGE(""https://docs.google.com/spreadsheets/d/1IYY_tgx_IHuhSq3AJ5eI5OnqOPBNLWSHKh2a30DoXe8/edit?usp=sharing"",""กระบี่!J236"")"),476)</f>
        <v>476</v>
      </c>
      <c r="K341" s="348">
        <f t="shared" ca="1" si="103"/>
        <v>116.09756097560975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IFERROR(__xludf.DUMMYFUNCTION("IMPORTRANGE(""https://docs.google.com/spreadsheets/d/1IYY_tgx_IHuhSq3AJ5eI5OnqOPBNLWSHKh2a30DoXe8/edit?usp=sharing"",""กระบี่!I237"")"),0)</f>
        <v>0</v>
      </c>
      <c r="J342" s="194">
        <f ca="1">IFERROR(__xludf.DUMMYFUNCTION("IMPORTRANGE(""https://docs.google.com/spreadsheets/d/1IYY_tgx_IHuhSq3AJ5eI5OnqOPBNLWSHKh2a30DoXe8/edit?usp=sharing"",""กระบี่!J237"")"),6244.84)</f>
        <v>6244.84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IFERROR(__xludf.DUMMYFUNCTION("IMPORTRANGE(""https://docs.google.com/spreadsheets/d/1IYY_tgx_IHuhSq3AJ5eI5OnqOPBNLWSHKh2a30DoXe8/edit?usp=sharing"",""กระบี่!I238"")"),410)</f>
        <v>410</v>
      </c>
      <c r="J343" s="194">
        <f ca="1">IFERROR(__xludf.DUMMYFUNCTION("IMPORTRANGE(""https://docs.google.com/spreadsheets/d/1IYY_tgx_IHuhSq3AJ5eI5OnqOPBNLWSHKh2a30DoXe8/edit?usp=sharing"",""กระบี่!J238"")"),0)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IFERROR(__xludf.DUMMYFUNCTION("IMPORTRANGE(""https://docs.google.com/spreadsheets/d/1IYY_tgx_IHuhSq3AJ5eI5OnqOPBNLWSHKh2a30DoXe8/edit?usp=sharing"",""กระบี่!I239"")"),0)</f>
        <v>0</v>
      </c>
      <c r="J344" s="194">
        <f ca="1">IFERROR(__xludf.DUMMYFUNCTION("IMPORTRANGE(""https://docs.google.com/spreadsheets/d/1IYY_tgx_IHuhSq3AJ5eI5OnqOPBNLWSHKh2a30DoXe8/edit?usp=sharing"",""กระบี่!J239"")"),0)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IFERROR(__xludf.DUMMYFUNCTION("IMPORTRANGE(""https://docs.google.com/spreadsheets/d/1IYY_tgx_IHuhSq3AJ5eI5OnqOPBNLWSHKh2a30DoXe8/edit?usp=sharing"",""กระบี่!I240"")"),410)</f>
        <v>410</v>
      </c>
      <c r="J345" s="194">
        <f ca="1">IFERROR(__xludf.DUMMYFUNCTION("IMPORTRANGE(""https://docs.google.com/spreadsheets/d/1IYY_tgx_IHuhSq3AJ5eI5OnqOPBNLWSHKh2a30DoXe8/edit?usp=sharing"",""กระบี่!J240"")"),321)</f>
        <v>321</v>
      </c>
      <c r="K345" s="348">
        <f t="shared" ca="1" si="103"/>
        <v>78.292682926829272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IFERROR(__xludf.DUMMYFUNCTION("IMPORTRANGE(""https://docs.google.com/spreadsheets/d/1IYY_tgx_IHuhSq3AJ5eI5OnqOPBNLWSHKh2a30DoXe8/edit?usp=sharing"",""กระบี่!I241"")"),0)</f>
        <v>0</v>
      </c>
      <c r="J346" s="194">
        <f ca="1">IFERROR(__xludf.DUMMYFUNCTION("IMPORTRANGE(""https://docs.google.com/spreadsheets/d/1IYY_tgx_IHuhSq3AJ5eI5OnqOPBNLWSHKh2a30DoXe8/edit?usp=sharing"",""กระบี่!J241"")"),4585.38)</f>
        <v>4585.38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IFERROR(__xludf.DUMMYFUNCTION("IMPORTRANGE(""https://docs.google.com/spreadsheets/d/1IYY_tgx_IHuhSq3AJ5eI5OnqOPBNLWSHKh2a30DoXe8/edit?usp=sharing"",""กระบี่!L242"")"),1228733)</f>
        <v>1228733</v>
      </c>
      <c r="M347" s="364"/>
      <c r="N347" s="364">
        <f ca="1">IFERROR(__xludf.DUMMYFUNCTION("IMPORTRANGE(""https://docs.google.com/spreadsheets/d/1IYY_tgx_IHuhSq3AJ5eI5OnqOPBNLWSHKh2a30DoXe8/edit?usp=sharing"",""กระบี่!M242"")"),819498.36)</f>
        <v>819498.36</v>
      </c>
      <c r="O347" s="364">
        <f ca="1">+IF(L347&gt;0,N347*100/L347,0)</f>
        <v>66.694583770436708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IFERROR(__xludf.DUMMYFUNCTION("IMPORTRANGE(""https://docs.google.com/spreadsheets/d/1IYY_tgx_IHuhSq3AJ5eI5OnqOPBNLWSHKh2a30DoXe8/edit?usp=sharing"",""กระบี่!I244"")"),0)</f>
        <v>0</v>
      </c>
      <c r="J349" s="377">
        <f ca="1">IFERROR(__xludf.DUMMYFUNCTION("IMPORTRANGE(""https://docs.google.com/spreadsheets/d/1IYY_tgx_IHuhSq3AJ5eI5OnqOPBNLWSHKh2a30DoXe8/edit?usp=sharing"",""กระบี่!J244"")"),0)</f>
        <v>0</v>
      </c>
      <c r="K349" s="378">
        <f t="shared" ref="K349:K350" ca="1" si="104">IF(I349&gt;0,J349*100/I349,0)</f>
        <v>0</v>
      </c>
      <c r="L349" s="379">
        <f ca="1">IFERROR(__xludf.DUMMYFUNCTION("IMPORTRANGE(""https://docs.google.com/spreadsheets/d/1IYY_tgx_IHuhSq3AJ5eI5OnqOPBNLWSHKh2a30DoXe8/edit?usp=sharing"",""กระบี่!L244"")"),0)</f>
        <v>0</v>
      </c>
      <c r="M349" s="379"/>
      <c r="N349" s="379">
        <f ca="1">IFERROR(__xludf.DUMMYFUNCTION("IMPORTRANGE(""https://docs.google.com/spreadsheets/d/1IYY_tgx_IHuhSq3AJ5eI5OnqOPBNLWSHKh2a30DoXe8/edit?usp=sharing"",""กระบี่!M244"")"),0)</f>
        <v>0</v>
      </c>
      <c r="O349" s="379">
        <f ca="1">+IF(L349&gt;0,N349*100/L349,0)</f>
        <v>0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IFERROR(__xludf.DUMMYFUNCTION("IMPORTRANGE(""https://docs.google.com/spreadsheets/d/1IYY_tgx_IHuhSq3AJ5eI5OnqOPBNLWSHKh2a30DoXe8/edit?usp=sharing"",""กระบี่!I245"")"),0)</f>
        <v>0</v>
      </c>
      <c r="J350" s="377">
        <f ca="1">IFERROR(__xludf.DUMMYFUNCTION("IMPORTRANGE(""https://docs.google.com/spreadsheets/d/1IYY_tgx_IHuhSq3AJ5eI5OnqOPBNLWSHKh2a30DoXe8/edit?usp=sharing"",""กระบี่!J245"")"),0)</f>
        <v>0</v>
      </c>
      <c r="K350" s="378">
        <f t="shared" ca="1" si="104"/>
        <v>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IFERROR(__xludf.DUMMYFUNCTION("IMPORTRANGE(""https://docs.google.com/spreadsheets/d/1IYY_tgx_IHuhSq3AJ5eI5OnqOPBNLWSHKh2a30DoXe8/edit?usp=sharing"",""กระบี่!L246"")"),0)</f>
        <v>0</v>
      </c>
      <c r="M351" s="168"/>
      <c r="N351" s="168">
        <f ca="1">IFERROR(__xludf.DUMMYFUNCTION("IMPORTRANGE(""https://docs.google.com/spreadsheets/d/1IYY_tgx_IHuhSq3AJ5eI5OnqOPBNLWSHKh2a30DoXe8/edit?usp=sharing"",""กระบี่!M246"")"),0)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IFERROR(__xludf.DUMMYFUNCTION("IMPORTRANGE(""https://docs.google.com/spreadsheets/d/1IYY_tgx_IHuhSq3AJ5eI5OnqOPBNLWSHKh2a30DoXe8/edit?usp=sharing"",""กระบี่!L247"")"),0)</f>
        <v>0</v>
      </c>
      <c r="M352" s="169"/>
      <c r="N352" s="168">
        <f ca="1">IFERROR(__xludf.DUMMYFUNCTION("IMPORTRANGE(""https://docs.google.com/spreadsheets/d/1IYY_tgx_IHuhSq3AJ5eI5OnqOPBNLWSHKh2a30DoXe8/edit?usp=sharing"",""กระบี่!M247"")"),0)</f>
        <v>0</v>
      </c>
      <c r="O352" s="169">
        <f t="shared" ca="1" si="105"/>
        <v>0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IFERROR(__xludf.DUMMYFUNCTION("IMPORTRANGE(""https://docs.google.com/spreadsheets/d/1IYY_tgx_IHuhSq3AJ5eI5OnqOPBNLWSHKh2a30DoXe8/edit?usp=sharing"",""กระบี่!L248"")"),0)</f>
        <v>0</v>
      </c>
      <c r="M353" s="175"/>
      <c r="N353" s="175">
        <f ca="1">IFERROR(__xludf.DUMMYFUNCTION("IMPORTRANGE(""https://docs.google.com/spreadsheets/d/1IYY_tgx_IHuhSq3AJ5eI5OnqOPBNLWSHKh2a30DoXe8/edit?usp=sharing"",""กระบี่!M248"")"),0)</f>
        <v>0</v>
      </c>
      <c r="O353" s="175">
        <f t="shared" ca="1" si="105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IFERROR(__xludf.DUMMYFUNCTION("IMPORTRANGE(""https://docs.google.com/spreadsheets/d/1IYY_tgx_IHuhSq3AJ5eI5OnqOPBNLWSHKh2a30DoXe8/edit?usp=sharing"",""กระบี่!L249"")"),0)</f>
        <v>0</v>
      </c>
      <c r="M354" s="175"/>
      <c r="N354" s="172">
        <f ca="1">IFERROR(__xludf.DUMMYFUNCTION("IMPORTRANGE(""https://docs.google.com/spreadsheets/d/1IYY_tgx_IHuhSq3AJ5eI5OnqOPBNLWSHKh2a30DoXe8/edit?usp=sharing"",""กระบี่!M249"")"),0)</f>
        <v>0</v>
      </c>
      <c r="O354" s="175">
        <f t="shared" ca="1" si="105"/>
        <v>0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IFERROR(__xludf.DUMMYFUNCTION("IMPORTRANGE(""https://docs.google.com/spreadsheets/d/1IYY_tgx_IHuhSq3AJ5eI5OnqOPBNLWSHKh2a30DoXe8/edit?usp=sharing"",""กระบี่!M250"")"),0)</f>
        <v>0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IFERROR(__xludf.DUMMYFUNCTION("IMPORTRANGE(""https://docs.google.com/spreadsheets/d/1IYY_tgx_IHuhSq3AJ5eI5OnqOPBNLWSHKh2a30DoXe8/edit?usp=sharing"",""กระบี่!M251"")"),0)</f>
        <v>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IFERROR(__xludf.DUMMYFUNCTION("IMPORTRANGE(""https://docs.google.com/spreadsheets/d/1IYY_tgx_IHuhSq3AJ5eI5OnqOPBNLWSHKh2a30DoXe8/edit?usp=sharing"",""กระบี่!M252"")"),0)</f>
        <v>0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IFERROR(__xludf.DUMMYFUNCTION("IMPORTRANGE(""https://docs.google.com/spreadsheets/d/1IYY_tgx_IHuhSq3AJ5eI5OnqOPBNLWSHKh2a30DoXe8/edit?usp=sharing"",""กระบี่!M253"")"),0)</f>
        <v>0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IFERROR(__xludf.DUMMYFUNCTION("IMPORTRANGE(""https://docs.google.com/spreadsheets/d/1IYY_tgx_IHuhSq3AJ5eI5OnqOPBNLWSHKh2a30DoXe8/edit?usp=sharing"",""กระบี่!J255"")"),0)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IFERROR(__xludf.DUMMYFUNCTION("IMPORTRANGE(""https://docs.google.com/spreadsheets/d/1IYY_tgx_IHuhSq3AJ5eI5OnqOPBNLWSHKh2a30DoXe8/edit?usp=sharing"",""กระบี่!J256"")"),0)</f>
        <v>0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IFERROR(__xludf.DUMMYFUNCTION("IMPORTRANGE(""https://docs.google.com/spreadsheets/d/1IYY_tgx_IHuhSq3AJ5eI5OnqOPBNLWSHKh2a30DoXe8/edit?usp=sharing"",""กระบี่!J257"")"),0)</f>
        <v>0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IFERROR(__xludf.DUMMYFUNCTION("IMPORTRANGE(""https://docs.google.com/spreadsheets/d/1IYY_tgx_IHuhSq3AJ5eI5OnqOPBNLWSHKh2a30DoXe8/edit?usp=sharing"",""กระบี่!J258"")"),0)</f>
        <v>0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IFERROR(__xludf.DUMMYFUNCTION("IMPORTRANGE(""https://docs.google.com/spreadsheets/d/1IYY_tgx_IHuhSq3AJ5eI5OnqOPBNLWSHKh2a30DoXe8/edit?usp=sharing"",""กระบี่!J166"")"),0)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IFERROR(__xludf.DUMMYFUNCTION("IMPORTRANGE(""https://docs.google.com/spreadsheets/d/1IYY_tgx_IHuhSq3AJ5eI5OnqOPBNLWSHKh2a30DoXe8/edit?usp=sharing"",""กระบี่!J166"")"),0)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IFERROR(__xludf.DUMMYFUNCTION("IMPORTRANGE(""https://docs.google.com/spreadsheets/d/1IYY_tgx_IHuhSq3AJ5eI5OnqOPBNLWSHKh2a30DoXe8/edit?usp=sharing"",""กระบี่!J166"")"),0)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IFERROR(__xludf.DUMMYFUNCTION("IMPORTRANGE(""https://docs.google.com/spreadsheets/d/1IYY_tgx_IHuhSq3AJ5eI5OnqOPBNLWSHKh2a30DoXe8/edit?usp=sharing"",""กระบี่!J166"")"),0)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IFERROR(__xludf.DUMMYFUNCTION("IMPORTRANGE(""https://docs.google.com/spreadsheets/d/1IYY_tgx_IHuhSq3AJ5eI5OnqOPBNLWSHKh2a30DoXe8/edit?usp=sharing"",""กระบี่!I263"")"),0)</f>
        <v>0</v>
      </c>
      <c r="J368" s="194">
        <f ca="1">IFERROR(__xludf.DUMMYFUNCTION("IMPORTRANGE(""https://docs.google.com/spreadsheets/d/1IYY_tgx_IHuhSq3AJ5eI5OnqOPBNLWSHKh2a30DoXe8/edit?usp=sharing"",""กระบี่!J263"")"),0)</f>
        <v>0</v>
      </c>
      <c r="K368" s="167">
        <f t="shared" ca="1" si="106"/>
        <v>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IFERROR(__xludf.DUMMYFUNCTION("IMPORTRANGE(""https://docs.google.com/spreadsheets/d/1IYY_tgx_IHuhSq3AJ5eI5OnqOPBNLWSHKh2a30DoXe8/edit?usp=sharing"",""กระบี่!I164"")"),0)</f>
        <v>0</v>
      </c>
      <c r="J369" s="210">
        <f ca="1">IFERROR(__xludf.DUMMYFUNCTION("IMPORTRANGE(""https://docs.google.com/spreadsheets/d/1IYY_tgx_IHuhSq3AJ5eI5OnqOPBNLWSHKh2a30DoXe8/edit?usp=sharing"",""กระบี่!J164"")"),0)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IFERROR(__xludf.DUMMYFUNCTION("IMPORTRANGE(""https://docs.google.com/spreadsheets/d/1IYY_tgx_IHuhSq3AJ5eI5OnqOPBNLWSHKh2a30DoXe8/edit?usp=sharing"",""กระบี่!I265"")"),0)</f>
        <v>0</v>
      </c>
      <c r="J370" s="210">
        <f ca="1">IFERROR(__xludf.DUMMYFUNCTION("IMPORTRANGE(""https://docs.google.com/spreadsheets/d/1IYY_tgx_IHuhSq3AJ5eI5OnqOPBNLWSHKh2a30DoXe8/edit?usp=sharing"",""กระบี่!J265"")"),0)</f>
        <v>0</v>
      </c>
      <c r="K370" s="167">
        <f t="shared" ca="1" si="106"/>
        <v>0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IFERROR(__xludf.DUMMYFUNCTION("IMPORTRANGE(""https://docs.google.com/spreadsheets/d/1IYY_tgx_IHuhSq3AJ5eI5OnqOPBNLWSHKh2a30DoXe8/edit?usp=sharing"",""กระบี่!I164"")"),0)</f>
        <v>0</v>
      </c>
      <c r="J371" s="195">
        <f ca="1">IFERROR(__xludf.DUMMYFUNCTION("IMPORTRANGE(""https://docs.google.com/spreadsheets/d/1IYY_tgx_IHuhSq3AJ5eI5OnqOPBNLWSHKh2a30DoXe8/edit?usp=sharing"",""กระบี่!J164"")"),0)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IFERROR(__xludf.DUMMYFUNCTION("IMPORTRANGE(""https://docs.google.com/spreadsheets/d/1IYY_tgx_IHuhSq3AJ5eI5OnqOPBNLWSHKh2a30DoXe8/edit?usp=sharing"",""กระบี่!I267"")"),0)</f>
        <v>0</v>
      </c>
      <c r="J372" s="195">
        <f ca="1">IFERROR(__xludf.DUMMYFUNCTION("IMPORTRANGE(""https://docs.google.com/spreadsheets/d/1IYY_tgx_IHuhSq3AJ5eI5OnqOPBNLWSHKh2a30DoXe8/edit?usp=sharing"",""กระบี่!J267"")"),0)</f>
        <v>0</v>
      </c>
      <c r="K372" s="167">
        <f t="shared" ca="1" si="106"/>
        <v>0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IFERROR(__xludf.DUMMYFUNCTION("IMPORTRANGE(""https://docs.google.com/spreadsheets/d/1IYY_tgx_IHuhSq3AJ5eI5OnqOPBNLWSHKh2a30DoXe8/edit?usp=sharing"",""กระบี่!I164"")"),0)</f>
        <v>0</v>
      </c>
      <c r="J373" s="210">
        <f ca="1">IFERROR(__xludf.DUMMYFUNCTION("IMPORTRANGE(""https://docs.google.com/spreadsheets/d/1IYY_tgx_IHuhSq3AJ5eI5OnqOPBNLWSHKh2a30DoXe8/edit?usp=sharing"",""กระบี่!J164"")"),0)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IFERROR(__xludf.DUMMYFUNCTION("IMPORTRANGE(""https://docs.google.com/spreadsheets/d/1IYY_tgx_IHuhSq3AJ5eI5OnqOPBNLWSHKh2a30DoXe8/edit?usp=sharing"",""กระบี่!I164"")"),0)</f>
        <v>0</v>
      </c>
      <c r="J374" s="194">
        <f ca="1">IFERROR(__xludf.DUMMYFUNCTION("IMPORTRANGE(""https://docs.google.com/spreadsheets/d/1IYY_tgx_IHuhSq3AJ5eI5OnqOPBNLWSHKh2a30DoXe8/edit?usp=sharing"",""กระบี่!J164"")"),0)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IFERROR(__xludf.DUMMYFUNCTION("IMPORTRANGE(""https://docs.google.com/spreadsheets/d/1IYY_tgx_IHuhSq3AJ5eI5OnqOPBNLWSHKh2a30DoXe8/edit?usp=sharing"",""กระบี่!I270"")"),0)</f>
        <v>0</v>
      </c>
      <c r="J375" s="194">
        <f ca="1">IFERROR(__xludf.DUMMYFUNCTION("IMPORTRANGE(""https://docs.google.com/spreadsheets/d/1IYY_tgx_IHuhSq3AJ5eI5OnqOPBNLWSHKh2a30DoXe8/edit?usp=sharing"",""กระบี่!J270"")"),0)</f>
        <v>0</v>
      </c>
      <c r="K375" s="167">
        <f t="shared" ref="K375:K377" ca="1" si="107">IF(I375&gt;0,J375*100/I375,0)</f>
        <v>0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IFERROR(__xludf.DUMMYFUNCTION("IMPORTRANGE(""https://docs.google.com/spreadsheets/d/1IYY_tgx_IHuhSq3AJ5eI5OnqOPBNLWSHKh2a30DoXe8/edit?usp=sharing"",""กระบี่!I271"")"),0)</f>
        <v>0</v>
      </c>
      <c r="J376" s="195">
        <f ca="1">IFERROR(__xludf.DUMMYFUNCTION("IMPORTRANGE(""https://docs.google.com/spreadsheets/d/1IYY_tgx_IHuhSq3AJ5eI5OnqOPBNLWSHKh2a30DoXe8/edit?usp=sharing"",""กระบี่!J271"")"),0)</f>
        <v>0</v>
      </c>
      <c r="K376" s="167">
        <f t="shared" ca="1" si="107"/>
        <v>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IFERROR(__xludf.DUMMYFUNCTION("IMPORTRANGE(""https://docs.google.com/spreadsheets/d/1IYY_tgx_IHuhSq3AJ5eI5OnqOPBNLWSHKh2a30DoXe8/edit?usp=sharing"",""กระบี่!I272"")"),0)</f>
        <v>0</v>
      </c>
      <c r="J377" s="210">
        <f ca="1">IFERROR(__xludf.DUMMYFUNCTION("IMPORTRANGE(""https://docs.google.com/spreadsheets/d/1IYY_tgx_IHuhSq3AJ5eI5OnqOPBNLWSHKh2a30DoXe8/edit?usp=sharing"",""กระบี่!J272"")"),0)</f>
        <v>0</v>
      </c>
      <c r="K377" s="167">
        <f t="shared" ca="1" si="107"/>
        <v>0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IFERROR(__xludf.DUMMYFUNCTION("IMPORTRANGE(""https://docs.google.com/spreadsheets/d/1IYY_tgx_IHuhSq3AJ5eI5OnqOPBNLWSHKh2a30DoXe8/edit?usp=sharing"",""กระบี่!J273"")"),0)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IFERROR(__xludf.DUMMYFUNCTION("IMPORTRANGE(""https://docs.google.com/spreadsheets/d/1IYY_tgx_IHuhSq3AJ5eI5OnqOPBNLWSHKh2a30DoXe8/edit?usp=sharing"",""กระบี่!J274"")"),0)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IFERROR(__xludf.DUMMYFUNCTION("IMPORTRANGE(""https://docs.google.com/spreadsheets/d/1IYY_tgx_IHuhSq3AJ5eI5OnqOPBNLWSHKh2a30DoXe8/edit?usp=sharing"",""กระบี่!I275"")"),300)</f>
        <v>300</v>
      </c>
      <c r="J380" s="377">
        <f ca="1">IFERROR(__xludf.DUMMYFUNCTION("IMPORTRANGE(""https://docs.google.com/spreadsheets/d/1IYY_tgx_IHuhSq3AJ5eI5OnqOPBNLWSHKh2a30DoXe8/edit?usp=sharing"",""กระบี่!J275"")"),300)</f>
        <v>300</v>
      </c>
      <c r="K380" s="378">
        <f t="shared" ref="K380:K381" ca="1" si="108">IF(I380&gt;0,J380*100/I380,0)</f>
        <v>100</v>
      </c>
      <c r="L380" s="379">
        <f ca="1">IFERROR(__xludf.DUMMYFUNCTION("IMPORTRANGE(""https://docs.google.com/spreadsheets/d/1IYY_tgx_IHuhSq3AJ5eI5OnqOPBNLWSHKh2a30DoXe8/edit?usp=sharing"",""กระบี่!L275"")"),293900)</f>
        <v>293900</v>
      </c>
      <c r="M380" s="379"/>
      <c r="N380" s="379">
        <f ca="1">IFERROR(__xludf.DUMMYFUNCTION("IMPORTRANGE(""https://docs.google.com/spreadsheets/d/1IYY_tgx_IHuhSq3AJ5eI5OnqOPBNLWSHKh2a30DoXe8/edit?usp=sharing"",""กระบี่!M275"")"),289730)</f>
        <v>289730</v>
      </c>
      <c r="O380" s="379">
        <f ca="1">+IF(L380&gt;0,N380*100/L380,0)</f>
        <v>98.581150051037767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IFERROR(__xludf.DUMMYFUNCTION("IMPORTRANGE(""https://docs.google.com/spreadsheets/d/1IYY_tgx_IHuhSq3AJ5eI5OnqOPBNLWSHKh2a30DoXe8/edit?usp=sharing"",""กระบี่!I276"")"),30)</f>
        <v>30</v>
      </c>
      <c r="J381" s="377">
        <f ca="1">IFERROR(__xludf.DUMMYFUNCTION("IMPORTRANGE(""https://docs.google.com/spreadsheets/d/1IYY_tgx_IHuhSq3AJ5eI5OnqOPBNLWSHKh2a30DoXe8/edit?usp=sharing"",""กระบี่!J276"")"),30)</f>
        <v>30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IFERROR(__xludf.DUMMYFUNCTION("IMPORTRANGE(""https://docs.google.com/spreadsheets/d/1IYY_tgx_IHuhSq3AJ5eI5OnqOPBNLWSHKh2a30DoXe8/edit?usp=sharing"",""กระบี่!L277"")"),0)</f>
        <v>0</v>
      </c>
      <c r="M382" s="168"/>
      <c r="N382" s="168">
        <f ca="1">IFERROR(__xludf.DUMMYFUNCTION("IMPORTRANGE(""https://docs.google.com/spreadsheets/d/1IYY_tgx_IHuhSq3AJ5eI5OnqOPBNLWSHKh2a30DoXe8/edit?usp=sharing"",""กระบี่!M277"")"),0)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IFERROR(__xludf.DUMMYFUNCTION("IMPORTRANGE(""https://docs.google.com/spreadsheets/d/1IYY_tgx_IHuhSq3AJ5eI5OnqOPBNLWSHKh2a30DoXe8/edit?usp=sharing"",""กระบี่!L278"")"),293900)</f>
        <v>293900</v>
      </c>
      <c r="M383" s="169"/>
      <c r="N383" s="169">
        <f ca="1">IFERROR(__xludf.DUMMYFUNCTION("IMPORTRANGE(""https://docs.google.com/spreadsheets/d/1IYY_tgx_IHuhSq3AJ5eI5OnqOPBNLWSHKh2a30DoXe8/edit?usp=sharing"",""กระบี่!M278"")"),289730)</f>
        <v>289730</v>
      </c>
      <c r="O383" s="169">
        <f t="shared" ca="1" si="109"/>
        <v>98.581150051037767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IFERROR(__xludf.DUMMYFUNCTION("IMPORTRANGE(""https://docs.google.com/spreadsheets/d/1IYY_tgx_IHuhSq3AJ5eI5OnqOPBNLWSHKh2a30DoXe8/edit?usp=sharing"",""กระบี่!L279"")"),0)</f>
        <v>0</v>
      </c>
      <c r="M384" s="175"/>
      <c r="N384" s="175">
        <f ca="1">IFERROR(__xludf.DUMMYFUNCTION("IMPORTRANGE(""https://docs.google.com/spreadsheets/d/1IYY_tgx_IHuhSq3AJ5eI5OnqOPBNLWSHKh2a30DoXe8/edit?usp=sharing"",""กระบี่!M279"")"),0)</f>
        <v>0</v>
      </c>
      <c r="O384" s="175">
        <f t="shared" ca="1" si="109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IFERROR(__xludf.DUMMYFUNCTION("IMPORTRANGE(""https://docs.google.com/spreadsheets/d/1IYY_tgx_IHuhSq3AJ5eI5OnqOPBNLWSHKh2a30DoXe8/edit?usp=sharing"",""กระบี่!L280"")"),293900)</f>
        <v>293900</v>
      </c>
      <c r="M385" s="175"/>
      <c r="N385" s="172">
        <f ca="1">IFERROR(__xludf.DUMMYFUNCTION("IMPORTRANGE(""https://docs.google.com/spreadsheets/d/1IYY_tgx_IHuhSq3AJ5eI5OnqOPBNLWSHKh2a30DoXe8/edit?usp=sharing"",""กระบี่!M280"")"),289730)</f>
        <v>289730</v>
      </c>
      <c r="O385" s="175">
        <f t="shared" ca="1" si="109"/>
        <v>98.581150051037767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IFERROR(__xludf.DUMMYFUNCTION("IMPORTRANGE(""https://docs.google.com/spreadsheets/d/1IYY_tgx_IHuhSq3AJ5eI5OnqOPBNLWSHKh2a30DoXe8/edit?usp=sharing"",""กระบี่!M281"")"),76200)</f>
        <v>76200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IFERROR(__xludf.DUMMYFUNCTION("IMPORTRANGE(""https://docs.google.com/spreadsheets/d/1IYY_tgx_IHuhSq3AJ5eI5OnqOPBNLWSHKh2a30DoXe8/edit?usp=sharing"",""กระบี่!M282"")"),187500)</f>
        <v>187500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IFERROR(__xludf.DUMMYFUNCTION("IMPORTRANGE(""https://docs.google.com/spreadsheets/d/1IYY_tgx_IHuhSq3AJ5eI5OnqOPBNLWSHKh2a30DoXe8/edit?usp=sharing"",""กระบี่!M283"")"),0)</f>
        <v>0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IFERROR(__xludf.DUMMYFUNCTION("IMPORTRANGE(""https://docs.google.com/spreadsheets/d/1IYY_tgx_IHuhSq3AJ5eI5OnqOPBNLWSHKh2a30DoXe8/edit?usp=sharing"",""กระบี่!M284"")"),26030)</f>
        <v>26030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IFERROR(__xludf.DUMMYFUNCTION("IMPORTRANGE(""https://docs.google.com/spreadsheets/d/1IYY_tgx_IHuhSq3AJ5eI5OnqOPBNLWSHKh2a30DoXe8/edit?usp=sharing"",""กระบี่!J286"")"),0)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IFERROR(__xludf.DUMMYFUNCTION("IMPORTRANGE(""https://docs.google.com/spreadsheets/d/1IYY_tgx_IHuhSq3AJ5eI5OnqOPBNLWSHKh2a30DoXe8/edit?usp=sharing"",""กระบี่!J287"")"),1)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IFERROR(__xludf.DUMMYFUNCTION("IMPORTRANGE(""https://docs.google.com/spreadsheets/d/1IYY_tgx_IHuhSq3AJ5eI5OnqOPBNLWSHKh2a30DoXe8/edit?usp=sharing"",""กระบี่!J288"")"),1)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IFERROR(__xludf.DUMMYFUNCTION("IMPORTRANGE(""https://docs.google.com/spreadsheets/d/1IYY_tgx_IHuhSq3AJ5eI5OnqOPBNLWSHKh2a30DoXe8/edit?usp=sharing"",""กระบี่!J289"")"),1)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IFERROR(__xludf.DUMMYFUNCTION("IMPORTRANGE(""https://docs.google.com/spreadsheets/d/1IYY_tgx_IHuhSq3AJ5eI5OnqOPBNLWSHKh2a30DoXe8/edit?usp=sharing"",""กระบี่!I291"")"),30)</f>
        <v>30</v>
      </c>
      <c r="J396" s="204">
        <f ca="1">IFERROR(__xludf.DUMMYFUNCTION("IMPORTRANGE(""https://docs.google.com/spreadsheets/d/1IYY_tgx_IHuhSq3AJ5eI5OnqOPBNLWSHKh2a30DoXe8/edit?usp=sharing"",""กระบี่!J291"")"),30)</f>
        <v>30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IFERROR(__xludf.DUMMYFUNCTION("IMPORTRANGE(""https://docs.google.com/spreadsheets/d/1IYY_tgx_IHuhSq3AJ5eI5OnqOPBNLWSHKh2a30DoXe8/edit?usp=sharing"",""กระบี่!I292"")"),300)</f>
        <v>300</v>
      </c>
      <c r="J397" s="204">
        <f ca="1">IFERROR(__xludf.DUMMYFUNCTION("IMPORTRANGE(""https://docs.google.com/spreadsheets/d/1IYY_tgx_IHuhSq3AJ5eI5OnqOPBNLWSHKh2a30DoXe8/edit?usp=sharing"",""กระบี่!J292"")"),300)</f>
        <v>300</v>
      </c>
      <c r="K397" s="167">
        <f t="shared" ca="1" si="110"/>
        <v>100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IFERROR(__xludf.DUMMYFUNCTION("IMPORTRANGE(""https://docs.google.com/spreadsheets/d/1IYY_tgx_IHuhSq3AJ5eI5OnqOPBNLWSHKh2a30DoXe8/edit?usp=sharing"",""กระบี่!I293"")"),30)</f>
        <v>30</v>
      </c>
      <c r="J398" s="204">
        <f ca="1">IFERROR(__xludf.DUMMYFUNCTION("IMPORTRANGE(""https://docs.google.com/spreadsheets/d/1IYY_tgx_IHuhSq3AJ5eI5OnqOPBNLWSHKh2a30DoXe8/edit?usp=sharing"",""กระบี่!J293"")"),30)</f>
        <v>30</v>
      </c>
      <c r="K398" s="167">
        <f t="shared" ca="1" si="110"/>
        <v>100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IFERROR(__xludf.DUMMYFUNCTION("IMPORTRANGE(""https://docs.google.com/spreadsheets/d/1IYY_tgx_IHuhSq3AJ5eI5OnqOPBNLWSHKh2a30DoXe8/edit?usp=sharing"",""กระบี่!J294"")"),1)</f>
        <v>1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IFERROR(__xludf.DUMMYFUNCTION("IMPORTRANGE(""https://docs.google.com/spreadsheets/d/1IYY_tgx_IHuhSq3AJ5eI5OnqOPBNLWSHKh2a30DoXe8/edit?usp=sharing"",""กระบี่!J295"")"),1)</f>
        <v>1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IFERROR(__xludf.DUMMYFUNCTION("IMPORTRANGE(""https://docs.google.com/spreadsheets/d/1IYY_tgx_IHuhSq3AJ5eI5OnqOPBNLWSHKh2a30DoXe8/edit?usp=sharing"",""กระบี่!I296"")"),105)</f>
        <v>105</v>
      </c>
      <c r="J401" s="377">
        <f ca="1">IFERROR(__xludf.DUMMYFUNCTION("IMPORTRANGE(""https://docs.google.com/spreadsheets/d/1IYY_tgx_IHuhSq3AJ5eI5OnqOPBNLWSHKh2a30DoXe8/edit?usp=sharing"",""กระบี่!J296"")"),105)</f>
        <v>105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IFERROR(__xludf.DUMMYFUNCTION("IMPORTRANGE(""https://docs.google.com/spreadsheets/d/1IYY_tgx_IHuhSq3AJ5eI5OnqOPBNLWSHKh2a30DoXe8/edit?usp=sharing"",""กระบี่!L296"")"),131710)</f>
        <v>131710</v>
      </c>
      <c r="M401" s="379"/>
      <c r="N401" s="379">
        <f ca="1">IFERROR(__xludf.DUMMYFUNCTION("IMPORTRANGE(""https://docs.google.com/spreadsheets/d/1IYY_tgx_IHuhSq3AJ5eI5OnqOPBNLWSHKh2a30DoXe8/edit?usp=sharing"",""กระบี่!M296"")"),131710)</f>
        <v>131710</v>
      </c>
      <c r="O401" s="379">
        <f ca="1">+IF(L401&gt;0,N401*100/L401,0)</f>
        <v>100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IFERROR(__xludf.DUMMYFUNCTION("IMPORTRANGE(""https://docs.google.com/spreadsheets/d/1IYY_tgx_IHuhSq3AJ5eI5OnqOPBNLWSHKh2a30DoXe8/edit?usp=sharing"",""กระบี่!I297"")"),35)</f>
        <v>35</v>
      </c>
      <c r="J402" s="377">
        <f ca="1">IFERROR(__xludf.DUMMYFUNCTION("IMPORTRANGE(""https://docs.google.com/spreadsheets/d/1IYY_tgx_IHuhSq3AJ5eI5OnqOPBNLWSHKh2a30DoXe8/edit?usp=sharing"",""กระบี่!J297"")"),35)</f>
        <v>35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IFERROR(__xludf.DUMMYFUNCTION("IMPORTRANGE(""https://docs.google.com/spreadsheets/d/1IYY_tgx_IHuhSq3AJ5eI5OnqOPBNLWSHKh2a30DoXe8/edit?usp=sharing"",""กระบี่!L298"")"),0)</f>
        <v>0</v>
      </c>
      <c r="M403" s="168"/>
      <c r="N403" s="175">
        <f ca="1">IFERROR(__xludf.DUMMYFUNCTION("IMPORTRANGE(""https://docs.google.com/spreadsheets/d/1IYY_tgx_IHuhSq3AJ5eI5OnqOPBNLWSHKh2a30DoXe8/edit?usp=sharing"",""กระบี่!M298"")"),0)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IFERROR(__xludf.DUMMYFUNCTION("IMPORTRANGE(""https://docs.google.com/spreadsheets/d/1IYY_tgx_IHuhSq3AJ5eI5OnqOPBNLWSHKh2a30DoXe8/edit?usp=sharing"",""กระบี่!L299"")"),131710)</f>
        <v>131710</v>
      </c>
      <c r="M404" s="169"/>
      <c r="N404" s="175">
        <f ca="1">IFERROR(__xludf.DUMMYFUNCTION("IMPORTRANGE(""https://docs.google.com/spreadsheets/d/1IYY_tgx_IHuhSq3AJ5eI5OnqOPBNLWSHKh2a30DoXe8/edit?usp=sharing"",""กระบี่!M299"")"),131710)</f>
        <v>131710</v>
      </c>
      <c r="O404" s="175">
        <f t="shared" ca="1" si="112"/>
        <v>100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IFERROR(__xludf.DUMMYFUNCTION("IMPORTRANGE(""https://docs.google.com/spreadsheets/d/1IYY_tgx_IHuhSq3AJ5eI5OnqOPBNLWSHKh2a30DoXe8/edit?usp=sharing"",""กระบี่!L300"")"),0)</f>
        <v>0</v>
      </c>
      <c r="M405" s="175"/>
      <c r="N405" s="175">
        <f ca="1">IFERROR(__xludf.DUMMYFUNCTION("IMPORTRANGE(""https://docs.google.com/spreadsheets/d/1IYY_tgx_IHuhSq3AJ5eI5OnqOPBNLWSHKh2a30DoXe8/edit?usp=sharing"",""กระบี่!M300"")"),0)</f>
        <v>0</v>
      </c>
      <c r="O405" s="175">
        <f t="shared" ca="1" si="112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IFERROR(__xludf.DUMMYFUNCTION("IMPORTRANGE(""https://docs.google.com/spreadsheets/d/1IYY_tgx_IHuhSq3AJ5eI5OnqOPBNLWSHKh2a30DoXe8/edit?usp=sharing"",""กระบี่!L301"")"),131710)</f>
        <v>131710</v>
      </c>
      <c r="M406" s="175"/>
      <c r="N406" s="175">
        <f ca="1">IFERROR(__xludf.DUMMYFUNCTION("IMPORTRANGE(""https://docs.google.com/spreadsheets/d/1IYY_tgx_IHuhSq3AJ5eI5OnqOPBNLWSHKh2a30DoXe8/edit?usp=sharing"",""กระบี่!M301"")"),131710)</f>
        <v>131710</v>
      </c>
      <c r="O406" s="175">
        <f t="shared" ca="1" si="112"/>
        <v>100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IFERROR(__xludf.DUMMYFUNCTION("IMPORTRANGE(""https://docs.google.com/spreadsheets/d/1IYY_tgx_IHuhSq3AJ5eI5OnqOPBNLWSHKh2a30DoXe8/edit?usp=sharing"",""กระบี่!M302"")"),79090)</f>
        <v>79090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IFERROR(__xludf.DUMMYFUNCTION("IMPORTRANGE(""https://docs.google.com/spreadsheets/d/1IYY_tgx_IHuhSq3AJ5eI5OnqOPBNLWSHKh2a30DoXe8/edit?usp=sharing"",""กระบี่!M303"")"),25500)</f>
        <v>25500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IFERROR(__xludf.DUMMYFUNCTION("IMPORTRANGE(""https://docs.google.com/spreadsheets/d/1IYY_tgx_IHuhSq3AJ5eI5OnqOPBNLWSHKh2a30DoXe8/edit?usp=sharing"",""กระบี่!M304"")"),0)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IFERROR(__xludf.DUMMYFUNCTION("IMPORTRANGE(""https://docs.google.com/spreadsheets/d/1IYY_tgx_IHuhSq3AJ5eI5OnqOPBNLWSHKh2a30DoXe8/edit?usp=sharing"",""กระบี่!M305"")"),27120)</f>
        <v>27120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IFERROR(__xludf.DUMMYFUNCTION("IMPORTRANGE(""https://docs.google.com/spreadsheets/d/1IYY_tgx_IHuhSq3AJ5eI5OnqOPBNLWSHKh2a30DoXe8/edit?usp=sharing"",""กระบี่!J307"")"),0)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IFERROR(__xludf.DUMMYFUNCTION("IMPORTRANGE(""https://docs.google.com/spreadsheets/d/1IYY_tgx_IHuhSq3AJ5eI5OnqOPBNLWSHKh2a30DoXe8/edit?usp=sharing"",""กระบี่!J308"")"),1)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IFERROR(__xludf.DUMMYFUNCTION("IMPORTRANGE(""https://docs.google.com/spreadsheets/d/1IYY_tgx_IHuhSq3AJ5eI5OnqOPBNLWSHKh2a30DoXe8/edit?usp=sharing"",""กระบี่!J309"")"),1)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IFERROR(__xludf.DUMMYFUNCTION("IMPORTRANGE(""https://docs.google.com/spreadsheets/d/1IYY_tgx_IHuhSq3AJ5eI5OnqOPBNLWSHKh2a30DoXe8/edit?usp=sharing"",""กระบี่!J310"")"),1)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IFERROR(__xludf.DUMMYFUNCTION("IMPORTRANGE(""https://docs.google.com/spreadsheets/d/1IYY_tgx_IHuhSq3AJ5eI5OnqOPBNLWSHKh2a30DoXe8/edit?usp=sharing"",""กระบี่!I311"")"),35)</f>
        <v>35</v>
      </c>
      <c r="J416" s="207">
        <f ca="1">IFERROR(__xludf.DUMMYFUNCTION("IMPORTRANGE(""https://docs.google.com/spreadsheets/d/1IYY_tgx_IHuhSq3AJ5eI5OnqOPBNLWSHKh2a30DoXe8/edit?usp=sharing"",""กระบี่!J311"")"),35)</f>
        <v>35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IFERROR(__xludf.DUMMYFUNCTION("IMPORTRANGE(""https://docs.google.com/spreadsheets/d/1IYY_tgx_IHuhSq3AJ5eI5OnqOPBNLWSHKh2a30DoXe8/edit?usp=sharing"",""กระบี่!I312"")"),10)</f>
        <v>10</v>
      </c>
      <c r="J417" s="398">
        <f ca="1">IFERROR(__xludf.DUMMYFUNCTION("IMPORTRANGE(""https://docs.google.com/spreadsheets/d/1IYY_tgx_IHuhSq3AJ5eI5OnqOPBNLWSHKh2a30DoXe8/edit?usp=sharing"",""กระบี่!J312"")"),10)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IFERROR(__xludf.DUMMYFUNCTION("IMPORTRANGE(""https://docs.google.com/spreadsheets/d/1IYY_tgx_IHuhSq3AJ5eI5OnqOPBNLWSHKh2a30DoXe8/edit?usp=sharing"",""กระบี่!I313"")"),30)</f>
        <v>30</v>
      </c>
      <c r="J418" s="399">
        <f ca="1">IFERROR(__xludf.DUMMYFUNCTION("IMPORTRANGE(""https://docs.google.com/spreadsheets/d/1IYY_tgx_IHuhSq3AJ5eI5OnqOPBNLWSHKh2a30DoXe8/edit?usp=sharing"",""กระบี่!J313"")"),30)</f>
        <v>30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IFERROR(__xludf.DUMMYFUNCTION("IMPORTRANGE(""https://docs.google.com/spreadsheets/d/1IYY_tgx_IHuhSq3AJ5eI5OnqOPBNLWSHKh2a30DoXe8/edit?usp=sharing"",""กระบี่!I314"")"),10)</f>
        <v>10</v>
      </c>
      <c r="J419" s="400">
        <f ca="1">IFERROR(__xludf.DUMMYFUNCTION("IMPORTRANGE(""https://docs.google.com/spreadsheets/d/1IYY_tgx_IHuhSq3AJ5eI5OnqOPBNLWSHKh2a30DoXe8/edit?usp=sharing"",""กระบี่!J314"")"),10)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IFERROR(__xludf.DUMMYFUNCTION("IMPORTRANGE(""https://docs.google.com/spreadsheets/d/1IYY_tgx_IHuhSq3AJ5eI5OnqOPBNLWSHKh2a30DoXe8/edit?usp=sharing"",""กระบี่!I315"")"),10)</f>
        <v>10</v>
      </c>
      <c r="J420" s="400">
        <f ca="1">IFERROR(__xludf.DUMMYFUNCTION("IMPORTRANGE(""https://docs.google.com/spreadsheets/d/1IYY_tgx_IHuhSq3AJ5eI5OnqOPBNLWSHKh2a30DoXe8/edit?usp=sharing"",""กระบี่!J315"")"),10)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IFERROR(__xludf.DUMMYFUNCTION("IMPORTRANGE(""https://docs.google.com/spreadsheets/d/1IYY_tgx_IHuhSq3AJ5eI5OnqOPBNLWSHKh2a30DoXe8/edit?usp=sharing"",""กระบี่!I316"")"),15)</f>
        <v>15</v>
      </c>
      <c r="J421" s="398">
        <f ca="1">IFERROR(__xludf.DUMMYFUNCTION("IMPORTRANGE(""https://docs.google.com/spreadsheets/d/1IYY_tgx_IHuhSq3AJ5eI5OnqOPBNLWSHKh2a30DoXe8/edit?usp=sharing"",""กระบี่!J316"")"),15)</f>
        <v>15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IFERROR(__xludf.DUMMYFUNCTION("IMPORTRANGE(""https://docs.google.com/spreadsheets/d/1IYY_tgx_IHuhSq3AJ5eI5OnqOPBNLWSHKh2a30DoXe8/edit?usp=sharing"",""กระบี่!I317"")"),45)</f>
        <v>45</v>
      </c>
      <c r="J422" s="399">
        <f ca="1">IFERROR(__xludf.DUMMYFUNCTION("IMPORTRANGE(""https://docs.google.com/spreadsheets/d/1IYY_tgx_IHuhSq3AJ5eI5OnqOPBNLWSHKh2a30DoXe8/edit?usp=sharing"",""กระบี่!J317"")"),45)</f>
        <v>45</v>
      </c>
      <c r="K422" s="208">
        <f t="shared" ca="1" si="113"/>
        <v>100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IFERROR(__xludf.DUMMYFUNCTION("IMPORTRANGE(""https://docs.google.com/spreadsheets/d/1IYY_tgx_IHuhSq3AJ5eI5OnqOPBNLWSHKh2a30DoXe8/edit?usp=sharing"",""กระบี่!I318"")"),15)</f>
        <v>15</v>
      </c>
      <c r="J423" s="400">
        <f ca="1">IFERROR(__xludf.DUMMYFUNCTION("IMPORTRANGE(""https://docs.google.com/spreadsheets/d/1IYY_tgx_IHuhSq3AJ5eI5OnqOPBNLWSHKh2a30DoXe8/edit?usp=sharing"",""กระบี่!J318"")"),15)</f>
        <v>15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IFERROR(__xludf.DUMMYFUNCTION("IMPORTRANGE(""https://docs.google.com/spreadsheets/d/1IYY_tgx_IHuhSq3AJ5eI5OnqOPBNLWSHKh2a30DoXe8/edit?usp=sharing"",""กระบี่!I319"")"),15)</f>
        <v>15</v>
      </c>
      <c r="J424" s="400">
        <f ca="1">IFERROR(__xludf.DUMMYFUNCTION("IMPORTRANGE(""https://docs.google.com/spreadsheets/d/1IYY_tgx_IHuhSq3AJ5eI5OnqOPBNLWSHKh2a30DoXe8/edit?usp=sharing"",""กระบี่!J319"")"),15)</f>
        <v>15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IFERROR(__xludf.DUMMYFUNCTION("IMPORTRANGE(""https://docs.google.com/spreadsheets/d/1IYY_tgx_IHuhSq3AJ5eI5OnqOPBNLWSHKh2a30DoXe8/edit?usp=sharing"",""กระบี่!I320"")"),15)</f>
        <v>15</v>
      </c>
      <c r="J425" s="400">
        <f ca="1">IFERROR(__xludf.DUMMYFUNCTION("IMPORTRANGE(""https://docs.google.com/spreadsheets/d/1IYY_tgx_IHuhSq3AJ5eI5OnqOPBNLWSHKh2a30DoXe8/edit?usp=sharing"",""กระบี่!J320"")"),15)</f>
        <v>15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IFERROR(__xludf.DUMMYFUNCTION("IMPORTRANGE(""https://docs.google.com/spreadsheets/d/1IYY_tgx_IHuhSq3AJ5eI5OnqOPBNLWSHKh2a30DoXe8/edit?usp=sharing"",""กระบี่!I321"")"),10)</f>
        <v>10</v>
      </c>
      <c r="J426" s="398">
        <f ca="1">IFERROR(__xludf.DUMMYFUNCTION("IMPORTRANGE(""https://docs.google.com/spreadsheets/d/1IYY_tgx_IHuhSq3AJ5eI5OnqOPBNLWSHKh2a30DoXe8/edit?usp=sharing"",""กระบี่!J321"")"),10)</f>
        <v>10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IFERROR(__xludf.DUMMYFUNCTION("IMPORTRANGE(""https://docs.google.com/spreadsheets/d/1IYY_tgx_IHuhSq3AJ5eI5OnqOPBNLWSHKh2a30DoXe8/edit?usp=sharing"",""กระบี่!I322"")"),30)</f>
        <v>30</v>
      </c>
      <c r="J427" s="399">
        <f ca="1">IFERROR(__xludf.DUMMYFUNCTION("IMPORTRANGE(""https://docs.google.com/spreadsheets/d/1IYY_tgx_IHuhSq3AJ5eI5OnqOPBNLWSHKh2a30DoXe8/edit?usp=sharing"",""กระบี่!J322"")"),30)</f>
        <v>30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IFERROR(__xludf.DUMMYFUNCTION("IMPORTRANGE(""https://docs.google.com/spreadsheets/d/1IYY_tgx_IHuhSq3AJ5eI5OnqOPBNLWSHKh2a30DoXe8/edit?usp=sharing"",""กระบี่!I323"")"),10)</f>
        <v>10</v>
      </c>
      <c r="J428" s="400">
        <f ca="1">IFERROR(__xludf.DUMMYFUNCTION("IMPORTRANGE(""https://docs.google.com/spreadsheets/d/1IYY_tgx_IHuhSq3AJ5eI5OnqOPBNLWSHKh2a30DoXe8/edit?usp=sharing"",""กระบี่!J323"")"),10)</f>
        <v>10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IFERROR(__xludf.DUMMYFUNCTION("IMPORTRANGE(""https://docs.google.com/spreadsheets/d/1IYY_tgx_IHuhSq3AJ5eI5OnqOPBNLWSHKh2a30DoXe8/edit?usp=sharing"",""กระบี่!I324"")"),10)</f>
        <v>10</v>
      </c>
      <c r="J429" s="400">
        <f ca="1">IFERROR(__xludf.DUMMYFUNCTION("IMPORTRANGE(""https://docs.google.com/spreadsheets/d/1IYY_tgx_IHuhSq3AJ5eI5OnqOPBNLWSHKh2a30DoXe8/edit?usp=sharing"",""กระบี่!J324"")"),10)</f>
        <v>10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IFERROR(__xludf.DUMMYFUNCTION("IMPORTRANGE(""https://docs.google.com/spreadsheets/d/1IYY_tgx_IHuhSq3AJ5eI5OnqOPBNLWSHKh2a30DoXe8/edit?usp=sharing"",""กระบี่!I325"")"),25)</f>
        <v>25</v>
      </c>
      <c r="J430" s="398">
        <f ca="1">IFERROR(__xludf.DUMMYFUNCTION("IMPORTRANGE(""https://docs.google.com/spreadsheets/d/1IYY_tgx_IHuhSq3AJ5eI5OnqOPBNLWSHKh2a30DoXe8/edit?usp=sharing"",""กระบี่!J325"")"),25)</f>
        <v>25</v>
      </c>
      <c r="K430" s="208">
        <f t="shared" ca="1" si="113"/>
        <v>100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IFERROR(__xludf.DUMMYFUNCTION("IMPORTRANGE(""https://docs.google.com/spreadsheets/d/1IYY_tgx_IHuhSq3AJ5eI5OnqOPBNLWSHKh2a30DoXe8/edit?usp=sharing"",""กระบี่!I326"")"),10)</f>
        <v>10</v>
      </c>
      <c r="J431" s="400">
        <f ca="1">IFERROR(__xludf.DUMMYFUNCTION("IMPORTRANGE(""https://docs.google.com/spreadsheets/d/1IYY_tgx_IHuhSq3AJ5eI5OnqOPBNLWSHKh2a30DoXe8/edit?usp=sharing"",""กระบี่!J326"")"),10)</f>
        <v>10</v>
      </c>
      <c r="K431" s="167">
        <f t="shared" ca="1" si="113"/>
        <v>100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IFERROR(__xludf.DUMMYFUNCTION("IMPORTRANGE(""https://docs.google.com/spreadsheets/d/1IYY_tgx_IHuhSq3AJ5eI5OnqOPBNLWSHKh2a30DoXe8/edit?usp=sharing"",""กระบี่!I327"")"),15)</f>
        <v>15</v>
      </c>
      <c r="J432" s="400">
        <f ca="1">IFERROR(__xludf.DUMMYFUNCTION("IMPORTRANGE(""https://docs.google.com/spreadsheets/d/1IYY_tgx_IHuhSq3AJ5eI5OnqOPBNLWSHKh2a30DoXe8/edit?usp=sharing"",""กระบี่!J327"")"),15)</f>
        <v>15</v>
      </c>
      <c r="K432" s="167">
        <f t="shared" ca="1" si="113"/>
        <v>100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IFERROR(__xludf.DUMMYFUNCTION("IMPORTRANGE(""https://docs.google.com/spreadsheets/d/1IYY_tgx_IHuhSq3AJ5eI5OnqOPBNLWSHKh2a30DoXe8/edit?usp=sharing"",""กระบี่!J328"")"),0)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IFERROR(__xludf.DUMMYFUNCTION("IMPORTRANGE(""https://docs.google.com/spreadsheets/d/1IYY_tgx_IHuhSq3AJ5eI5OnqOPBNLWSHKh2a30DoXe8/edit?usp=sharing"",""กระบี่!J329"")"),0)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IFERROR(__xludf.DUMMYFUNCTION("IMPORTRANGE(""https://docs.google.com/spreadsheets/d/1IYY_tgx_IHuhSq3AJ5eI5OnqOPBNLWSHKh2a30DoXe8/edit?usp=sharing"",""กระบี่!I330"")"),10)</f>
        <v>10</v>
      </c>
      <c r="J435" s="416">
        <f ca="1">IFERROR(__xludf.DUMMYFUNCTION("IMPORTRANGE(""https://docs.google.com/spreadsheets/d/1IYY_tgx_IHuhSq3AJ5eI5OnqOPBNLWSHKh2a30DoXe8/edit?usp=sharing"",""กระบี่!J330"")"),10)</f>
        <v>10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IFERROR(__xludf.DUMMYFUNCTION("IMPORTRANGE(""https://docs.google.com/spreadsheets/d/1IYY_tgx_IHuhSq3AJ5eI5OnqOPBNLWSHKh2a30DoXe8/edit?usp=sharing"",""กระบี่!L330"")"),76000)</f>
        <v>76000</v>
      </c>
      <c r="M435" s="418"/>
      <c r="N435" s="418">
        <f ca="1">IFERROR(__xludf.DUMMYFUNCTION("IMPORTRANGE(""https://docs.google.com/spreadsheets/d/1IYY_tgx_IHuhSq3AJ5eI5OnqOPBNLWSHKh2a30DoXe8/edit?usp=sharing"",""กระบี่!M330"")"),50104)</f>
        <v>50104</v>
      </c>
      <c r="O435" s="418">
        <f t="shared" ref="O435:O439" ca="1" si="114">+IF(L435&gt;0,N435*100/L435,0)</f>
        <v>65.926315789473691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IFERROR(__xludf.DUMMYFUNCTION("IMPORTRANGE(""https://docs.google.com/spreadsheets/d/1IYY_tgx_IHuhSq3AJ5eI5OnqOPBNLWSHKh2a30DoXe8/edit?usp=sharing"",""กระบี่!L331"")"),0)</f>
        <v>0</v>
      </c>
      <c r="M436" s="168"/>
      <c r="N436" s="175">
        <f ca="1">IFERROR(__xludf.DUMMYFUNCTION("IMPORTRANGE(""https://docs.google.com/spreadsheets/d/1IYY_tgx_IHuhSq3AJ5eI5OnqOPBNLWSHKh2a30DoXe8/edit?usp=sharing"",""กระบี่!M331"")"),0)</f>
        <v>0</v>
      </c>
      <c r="O436" s="175">
        <f t="shared" ca="1" si="114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IFERROR(__xludf.DUMMYFUNCTION("IMPORTRANGE(""https://docs.google.com/spreadsheets/d/1IYY_tgx_IHuhSq3AJ5eI5OnqOPBNLWSHKh2a30DoXe8/edit?usp=sharing"",""กระบี่!L332"")"),76000)</f>
        <v>76000</v>
      </c>
      <c r="M437" s="169"/>
      <c r="N437" s="175">
        <f ca="1">IFERROR(__xludf.DUMMYFUNCTION("IMPORTRANGE(""https://docs.google.com/spreadsheets/d/1IYY_tgx_IHuhSq3AJ5eI5OnqOPBNLWSHKh2a30DoXe8/edit?usp=sharing"",""กระบี่!M332"")"),50104)</f>
        <v>50104</v>
      </c>
      <c r="O437" s="175">
        <f t="shared" ca="1" si="114"/>
        <v>65.926315789473691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IFERROR(__xludf.DUMMYFUNCTION("IMPORTRANGE(""https://docs.google.com/spreadsheets/d/1IYY_tgx_IHuhSq3AJ5eI5OnqOPBNLWSHKh2a30DoXe8/edit?usp=sharing"",""กระบี่!L333"")"),0)</f>
        <v>0</v>
      </c>
      <c r="M438" s="175"/>
      <c r="N438" s="175">
        <f ca="1">IFERROR(__xludf.DUMMYFUNCTION("IMPORTRANGE(""https://docs.google.com/spreadsheets/d/1IYY_tgx_IHuhSq3AJ5eI5OnqOPBNLWSHKh2a30DoXe8/edit?usp=sharing"",""กระบี่!M333"")"),0)</f>
        <v>0</v>
      </c>
      <c r="O438" s="175">
        <f t="shared" ca="1" si="114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IFERROR(__xludf.DUMMYFUNCTION("IMPORTRANGE(""https://docs.google.com/spreadsheets/d/1IYY_tgx_IHuhSq3AJ5eI5OnqOPBNLWSHKh2a30DoXe8/edit?usp=sharing"",""กระบี่!L334"")"),76000)</f>
        <v>76000</v>
      </c>
      <c r="M439" s="175"/>
      <c r="N439" s="175">
        <f ca="1">IFERROR(__xludf.DUMMYFUNCTION("IMPORTRANGE(""https://docs.google.com/spreadsheets/d/1IYY_tgx_IHuhSq3AJ5eI5OnqOPBNLWSHKh2a30DoXe8/edit?usp=sharing"",""กระบี่!M334"")"),50104)</f>
        <v>50104</v>
      </c>
      <c r="O439" s="175">
        <f t="shared" ca="1" si="114"/>
        <v>65.926315789473691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IFERROR(__xludf.DUMMYFUNCTION("IMPORTRANGE(""https://docs.google.com/spreadsheets/d/1IYY_tgx_IHuhSq3AJ5eI5OnqOPBNLWSHKh2a30DoXe8/edit?usp=sharing"",""กระบี่!M335"")"),32960)</f>
        <v>32960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IFERROR(__xludf.DUMMYFUNCTION("IMPORTRANGE(""https://docs.google.com/spreadsheets/d/1IYY_tgx_IHuhSq3AJ5eI5OnqOPBNLWSHKh2a30DoXe8/edit?usp=sharing"",""กระบี่!M336"")"),0)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IFERROR(__xludf.DUMMYFUNCTION("IMPORTRANGE(""https://docs.google.com/spreadsheets/d/1IYY_tgx_IHuhSq3AJ5eI5OnqOPBNLWSHKh2a30DoXe8/edit?usp=sharing"",""กระบี่!M337"")"),0)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IFERROR(__xludf.DUMMYFUNCTION("IMPORTRANGE(""https://docs.google.com/spreadsheets/d/1IYY_tgx_IHuhSq3AJ5eI5OnqOPBNLWSHKh2a30DoXe8/edit?usp=sharing"",""กระบี่!M338"")"),17144)</f>
        <v>17144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IFERROR(__xludf.DUMMYFUNCTION("IMPORTRANGE(""https://docs.google.com/spreadsheets/d/1IYY_tgx_IHuhSq3AJ5eI5OnqOPBNLWSHKh2a30DoXe8/edit?usp=sharing"",""กระบี่!J340"")"),0)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IFERROR(__xludf.DUMMYFUNCTION("IMPORTRANGE(""https://docs.google.com/spreadsheets/d/1IYY_tgx_IHuhSq3AJ5eI5OnqOPBNLWSHKh2a30DoXe8/edit?usp=sharing"",""กระบี่!J341"")"),0)</f>
        <v>0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IFERROR(__xludf.DUMMYFUNCTION("IMPORTRANGE(""https://docs.google.com/spreadsheets/d/1IYY_tgx_IHuhSq3AJ5eI5OnqOPBNLWSHKh2a30DoXe8/edit?usp=sharing"",""กระบี่!J342"")"),1)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IFERROR(__xludf.DUMMYFUNCTION("IMPORTRANGE(""https://docs.google.com/spreadsheets/d/1IYY_tgx_IHuhSq3AJ5eI5OnqOPBNLWSHKh2a30DoXe8/edit?usp=sharing"",""กระบี่!J343"")"),1)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IFERROR(__xludf.DUMMYFUNCTION("IMPORTRANGE(""https://docs.google.com/spreadsheets/d/1IYY_tgx_IHuhSq3AJ5eI5OnqOPBNLWSHKh2a30DoXe8/edit?usp=sharing"",""กระบี่!I344"")"),10)</f>
        <v>10</v>
      </c>
      <c r="J449" s="207">
        <f ca="1">IFERROR(__xludf.DUMMYFUNCTION("IMPORTRANGE(""https://docs.google.com/spreadsheets/d/1IYY_tgx_IHuhSq3AJ5eI5OnqOPBNLWSHKh2a30DoXe8/edit?usp=sharing"",""กระบี่!J344"")"),10)</f>
        <v>10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IFERROR(__xludf.DUMMYFUNCTION("IMPORTRANGE(""https://docs.google.com/spreadsheets/d/1IYY_tgx_IHuhSq3AJ5eI5OnqOPBNLWSHKh2a30DoXe8/edit?usp=sharing"",""กระบี่!I345"")"),10)</f>
        <v>10</v>
      </c>
      <c r="J450" s="195">
        <f ca="1">IFERROR(__xludf.DUMMYFUNCTION("IMPORTRANGE(""https://docs.google.com/spreadsheets/d/1IYY_tgx_IHuhSq3AJ5eI5OnqOPBNLWSHKh2a30DoXe8/edit?usp=sharing"",""กระบี่!J345"")"),10)</f>
        <v>10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IFERROR(__xludf.DUMMYFUNCTION("IMPORTRANGE(""https://docs.google.com/spreadsheets/d/1IYY_tgx_IHuhSq3AJ5eI5OnqOPBNLWSHKh2a30DoXe8/edit?usp=sharing"",""กระบี่!I346"")"),0)</f>
        <v>0</v>
      </c>
      <c r="J451" s="194">
        <f ca="1">IFERROR(__xludf.DUMMYFUNCTION("IMPORTRANGE(""https://docs.google.com/spreadsheets/d/1IYY_tgx_IHuhSq3AJ5eI5OnqOPBNLWSHKh2a30DoXe8/edit?usp=sharing"",""กระบี่!J346"")"),0)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IFERROR(__xludf.DUMMYFUNCTION("IMPORTRANGE(""https://docs.google.com/spreadsheets/d/1IYY_tgx_IHuhSq3AJ5eI5OnqOPBNLWSHKh2a30DoXe8/edit?usp=sharing"",""กระบี่!I347"")"),0)</f>
        <v>0</v>
      </c>
      <c r="J452" s="194">
        <f ca="1">IFERROR(__xludf.DUMMYFUNCTION("IMPORTRANGE(""https://docs.google.com/spreadsheets/d/1IYY_tgx_IHuhSq3AJ5eI5OnqOPBNLWSHKh2a30DoXe8/edit?usp=sharing"",""กระบี่!J347"")"),0)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IFERROR(__xludf.DUMMYFUNCTION("IMPORTRANGE(""https://docs.google.com/spreadsheets/d/1IYY_tgx_IHuhSq3AJ5eI5OnqOPBNLWSHKh2a30DoXe8/edit?usp=sharing"",""กระบี่!J348"")"),1)</f>
        <v>1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IFERROR(__xludf.DUMMYFUNCTION("IMPORTRANGE(""https://docs.google.com/spreadsheets/d/1IYY_tgx_IHuhSq3AJ5eI5OnqOPBNLWSHKh2a30DoXe8/edit?usp=sharing"",""กระบี่!J349"")"),1)</f>
        <v>1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IFERROR(__xludf.DUMMYFUNCTION("IMPORTRANGE(""https://docs.google.com/spreadsheets/d/1IYY_tgx_IHuhSq3AJ5eI5OnqOPBNLWSHKh2a30DoXe8/edit?usp=sharing"",""กระบี่!I350"")"),66369)</f>
        <v>66369</v>
      </c>
      <c r="J455" s="377">
        <f ca="1">IFERROR(__xludf.DUMMYFUNCTION("IMPORTRANGE(""https://docs.google.com/spreadsheets/d/1IYY_tgx_IHuhSq3AJ5eI5OnqOPBNLWSHKh2a30DoXe8/edit?usp=sharing"",""กระบี่!J350"")"),60350)</f>
        <v>60350</v>
      </c>
      <c r="K455" s="378">
        <f ca="1">IF(I455&gt;0,J455*100/I455,0)</f>
        <v>90.931006946013952</v>
      </c>
      <c r="L455" s="379">
        <f ca="1">IFERROR(__xludf.DUMMYFUNCTION("IMPORTRANGE(""https://docs.google.com/spreadsheets/d/1IYY_tgx_IHuhSq3AJ5eI5OnqOPBNLWSHKh2a30DoXe8/edit?usp=sharing"",""กระบี่!L350"")"),518383)</f>
        <v>518383</v>
      </c>
      <c r="M455" s="379"/>
      <c r="N455" s="379">
        <f ca="1">IFERROR(__xludf.DUMMYFUNCTION("IMPORTRANGE(""https://docs.google.com/spreadsheets/d/1IYY_tgx_IHuhSq3AJ5eI5OnqOPBNLWSHKh2a30DoXe8/edit?usp=sharing"",""กระบี่!M350"")"),278014.36)</f>
        <v>278014.36</v>
      </c>
      <c r="O455" s="379">
        <f t="shared" ref="O455:O459" ca="1" si="116">+IF(L455&gt;0,N455*100/L455,0)</f>
        <v>53.631072006605152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IFERROR(__xludf.DUMMYFUNCTION("IMPORTRANGE(""https://docs.google.com/spreadsheets/d/1IYY_tgx_IHuhSq3AJ5eI5OnqOPBNLWSHKh2a30DoXe8/edit?usp=sharing"",""กระบี่!L351"")"),0)</f>
        <v>0</v>
      </c>
      <c r="M456" s="168"/>
      <c r="N456" s="175">
        <f ca="1">IFERROR(__xludf.DUMMYFUNCTION("IMPORTRANGE(""https://docs.google.com/spreadsheets/d/1IYY_tgx_IHuhSq3AJ5eI5OnqOPBNLWSHKh2a30DoXe8/edit?usp=sharing"",""กระบี่!M351"")"),0)</f>
        <v>0</v>
      </c>
      <c r="O456" s="175">
        <f t="shared" ca="1" si="116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IFERROR(__xludf.DUMMYFUNCTION("IMPORTRANGE(""https://docs.google.com/spreadsheets/d/1IYY_tgx_IHuhSq3AJ5eI5OnqOPBNLWSHKh2a30DoXe8/edit?usp=sharing"",""กระบี่!L352"")"),518383)</f>
        <v>518383</v>
      </c>
      <c r="M457" s="169"/>
      <c r="N457" s="175">
        <f ca="1">IFERROR(__xludf.DUMMYFUNCTION("IMPORTRANGE(""https://docs.google.com/spreadsheets/d/1IYY_tgx_IHuhSq3AJ5eI5OnqOPBNLWSHKh2a30DoXe8/edit?usp=sharing"",""กระบี่!M352"")"),278014.36)</f>
        <v>278014.36</v>
      </c>
      <c r="O457" s="175">
        <f t="shared" ca="1" si="116"/>
        <v>53.631072006605152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IFERROR(__xludf.DUMMYFUNCTION("IMPORTRANGE(""https://docs.google.com/spreadsheets/d/1IYY_tgx_IHuhSq3AJ5eI5OnqOPBNLWSHKh2a30DoXe8/edit?usp=sharing"",""กระบี่!L353"")"),0)</f>
        <v>0</v>
      </c>
      <c r="M458" s="175"/>
      <c r="N458" s="175">
        <f ca="1">IFERROR(__xludf.DUMMYFUNCTION("IMPORTRANGE(""https://docs.google.com/spreadsheets/d/1IYY_tgx_IHuhSq3AJ5eI5OnqOPBNLWSHKh2a30DoXe8/edit?usp=sharing"",""กระบี่!M353"")"),0)</f>
        <v>0</v>
      </c>
      <c r="O458" s="175">
        <f t="shared" ca="1" si="116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IFERROR(__xludf.DUMMYFUNCTION("IMPORTRANGE(""https://docs.google.com/spreadsheets/d/1IYY_tgx_IHuhSq3AJ5eI5OnqOPBNLWSHKh2a30DoXe8/edit?usp=sharing"",""กระบี่!L354"")"),518383)</f>
        <v>518383</v>
      </c>
      <c r="M459" s="175"/>
      <c r="N459" s="175">
        <f ca="1">IFERROR(__xludf.DUMMYFUNCTION("IMPORTRANGE(""https://docs.google.com/spreadsheets/d/1IYY_tgx_IHuhSq3AJ5eI5OnqOPBNLWSHKh2a30DoXe8/edit?usp=sharing"",""กระบี่!M354"")"),278014.36)</f>
        <v>278014.36</v>
      </c>
      <c r="O459" s="175">
        <f t="shared" ca="1" si="116"/>
        <v>53.631072006605152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IFERROR(__xludf.DUMMYFUNCTION("IMPORTRANGE(""https://docs.google.com/spreadsheets/d/1IYY_tgx_IHuhSq3AJ5eI5OnqOPBNLWSHKh2a30DoXe8/edit?usp=sharing"",""กระบี่!M355"")"),0)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IFERROR(__xludf.DUMMYFUNCTION("IMPORTRANGE(""https://docs.google.com/spreadsheets/d/1IYY_tgx_IHuhSq3AJ5eI5OnqOPBNLWSHKh2a30DoXe8/edit?usp=sharing"",""กระบี่!M356"")"),0)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IFERROR(__xludf.DUMMYFUNCTION("IMPORTRANGE(""https://docs.google.com/spreadsheets/d/1IYY_tgx_IHuhSq3AJ5eI5OnqOPBNLWSHKh2a30DoXe8/edit?usp=sharing"",""กระบี่!M357"")"),92967.76)</f>
        <v>92967.76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IFERROR(__xludf.DUMMYFUNCTION("IMPORTRANGE(""https://docs.google.com/spreadsheets/d/1IYY_tgx_IHuhSq3AJ5eI5OnqOPBNLWSHKh2a30DoXe8/edit?usp=sharing"",""กระบี่!M358"")"),185046.6)</f>
        <v>185046.6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IFERROR(__xludf.DUMMYFUNCTION("IMPORTRANGE(""https://docs.google.com/spreadsheets/d/1IYY_tgx_IHuhSq3AJ5eI5OnqOPBNLWSHKh2a30DoXe8/edit?usp=sharing"",""กระบี่!I359"")"),66369)</f>
        <v>66369</v>
      </c>
      <c r="J464" s="273">
        <f ca="1">IFERROR(__xludf.DUMMYFUNCTION("IMPORTRANGE(""https://docs.google.com/spreadsheets/d/1IYY_tgx_IHuhSq3AJ5eI5OnqOPBNLWSHKh2a30DoXe8/edit?usp=sharing"",""กระบี่!J359"")"),60350)</f>
        <v>60350</v>
      </c>
      <c r="K464" s="274">
        <f t="shared" ref="K464:K515" ca="1" si="117">IF(I464&gt;0,J464*100/I464,0)</f>
        <v>90.931006946013952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IFERROR(__xludf.DUMMYFUNCTION("IMPORTRANGE(""https://docs.google.com/spreadsheets/d/1IYY_tgx_IHuhSq3AJ5eI5OnqOPBNLWSHKh2a30DoXe8/edit?usp=sharing"",""กระบี่!I360"")"),66369)</f>
        <v>66369</v>
      </c>
      <c r="J465" s="426">
        <f ca="1">IFERROR(__xludf.DUMMYFUNCTION("IMPORTRANGE(""https://docs.google.com/spreadsheets/d/1IYY_tgx_IHuhSq3AJ5eI5OnqOPBNLWSHKh2a30DoXe8/edit?usp=sharing"",""กระบี่!J360"")"),66369)</f>
        <v>66369</v>
      </c>
      <c r="K465" s="208">
        <f t="shared" ca="1" si="117"/>
        <v>100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IFERROR(__xludf.DUMMYFUNCTION("IMPORTRANGE(""https://docs.google.com/spreadsheets/d/1IYY_tgx_IHuhSq3AJ5eI5OnqOPBNLWSHKh2a30DoXe8/edit?usp=sharing"",""กระบี่!I361"")"),4051)</f>
        <v>4051</v>
      </c>
      <c r="J466" s="426">
        <f ca="1">IFERROR(__xludf.DUMMYFUNCTION("IMPORTRANGE(""https://docs.google.com/spreadsheets/d/1IYY_tgx_IHuhSq3AJ5eI5OnqOPBNLWSHKh2a30DoXe8/edit?usp=sharing"",""กระบี่!J361"")"),4051)</f>
        <v>4051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IFERROR(__xludf.DUMMYFUNCTION("IMPORTRANGE(""https://docs.google.com/spreadsheets/d/1IYY_tgx_IHuhSq3AJ5eI5OnqOPBNLWSHKh2a30DoXe8/edit?usp=sharing"",""กระบี่!I362"")"),0)</f>
        <v>0</v>
      </c>
      <c r="J467" s="195">
        <f ca="1">IFERROR(__xludf.DUMMYFUNCTION("IMPORTRANGE(""https://docs.google.com/spreadsheets/d/1IYY_tgx_IHuhSq3AJ5eI5OnqOPBNLWSHKh2a30DoXe8/edit?usp=sharing"",""กระบี่!J362"")"),59431)</f>
        <v>59431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IFERROR(__xludf.DUMMYFUNCTION("IMPORTRANGE(""https://docs.google.com/spreadsheets/d/1IYY_tgx_IHuhSq3AJ5eI5OnqOPBNLWSHKh2a30DoXe8/edit?usp=sharing"",""กระบี่!I363"")"),0)</f>
        <v>0</v>
      </c>
      <c r="J468" s="195">
        <f ca="1">IFERROR(__xludf.DUMMYFUNCTION("IMPORTRANGE(""https://docs.google.com/spreadsheets/d/1IYY_tgx_IHuhSq3AJ5eI5OnqOPBNLWSHKh2a30DoXe8/edit?usp=sharing"",""กระบี่!J363"")"),3640)</f>
        <v>3640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IFERROR(__xludf.DUMMYFUNCTION("IMPORTRANGE(""https://docs.google.com/spreadsheets/d/1IYY_tgx_IHuhSq3AJ5eI5OnqOPBNLWSHKh2a30DoXe8/edit?usp=sharing"",""กระบี่!I364"")"),0)</f>
        <v>0</v>
      </c>
      <c r="J469" s="195">
        <f ca="1">IFERROR(__xludf.DUMMYFUNCTION("IMPORTRANGE(""https://docs.google.com/spreadsheets/d/1IYY_tgx_IHuhSq3AJ5eI5OnqOPBNLWSHKh2a30DoXe8/edit?usp=sharing"",""กระบี่!J364"")"),6391)</f>
        <v>6391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IFERROR(__xludf.DUMMYFUNCTION("IMPORTRANGE(""https://docs.google.com/spreadsheets/d/1IYY_tgx_IHuhSq3AJ5eI5OnqOPBNLWSHKh2a30DoXe8/edit?usp=sharing"",""กระบี่!I365"")"),0)</f>
        <v>0</v>
      </c>
      <c r="J470" s="195">
        <f ca="1">IFERROR(__xludf.DUMMYFUNCTION("IMPORTRANGE(""https://docs.google.com/spreadsheets/d/1IYY_tgx_IHuhSq3AJ5eI5OnqOPBNLWSHKh2a30DoXe8/edit?usp=sharing"",""กระบี่!J365"")"),369)</f>
        <v>369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IFERROR(__xludf.DUMMYFUNCTION("IMPORTRANGE(""https://docs.google.com/spreadsheets/d/1IYY_tgx_IHuhSq3AJ5eI5OnqOPBNLWSHKh2a30DoXe8/edit?usp=sharing"",""กระบี่!I366"")"),0)</f>
        <v>0</v>
      </c>
      <c r="J471" s="195">
        <f ca="1">IFERROR(__xludf.DUMMYFUNCTION("IMPORTRANGE(""https://docs.google.com/spreadsheets/d/1IYY_tgx_IHuhSq3AJ5eI5OnqOPBNLWSHKh2a30DoXe8/edit?usp=sharing"",""กระบี่!J366"")"),547)</f>
        <v>547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IFERROR(__xludf.DUMMYFUNCTION("IMPORTRANGE(""https://docs.google.com/spreadsheets/d/1IYY_tgx_IHuhSq3AJ5eI5OnqOPBNLWSHKh2a30DoXe8/edit?usp=sharing"",""กระบี่!I367"")"),0)</f>
        <v>0</v>
      </c>
      <c r="J472" s="195">
        <f ca="1">IFERROR(__xludf.DUMMYFUNCTION("IMPORTRANGE(""https://docs.google.com/spreadsheets/d/1IYY_tgx_IHuhSq3AJ5eI5OnqOPBNLWSHKh2a30DoXe8/edit?usp=sharing"",""กระบี่!J367"")"),42)</f>
        <v>42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IFERROR(__xludf.DUMMYFUNCTION("IMPORTRANGE(""https://docs.google.com/spreadsheets/d/1IYY_tgx_IHuhSq3AJ5eI5OnqOPBNLWSHKh2a30DoXe8/edit?usp=sharing"",""กระบี่!I368"")"),66369)</f>
        <v>66369</v>
      </c>
      <c r="J473" s="426">
        <f ca="1">IFERROR(__xludf.DUMMYFUNCTION("IMPORTRANGE(""https://docs.google.com/spreadsheets/d/1IYY_tgx_IHuhSq3AJ5eI5OnqOPBNLWSHKh2a30DoXe8/edit?usp=sharing"",""กระบี่!J368"")"),66370)</f>
        <v>66370</v>
      </c>
      <c r="K473" s="208">
        <f t="shared" ca="1" si="117"/>
        <v>100.00150672753846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IFERROR(__xludf.DUMMYFUNCTION("IMPORTRANGE(""https://docs.google.com/spreadsheets/d/1IYY_tgx_IHuhSq3AJ5eI5OnqOPBNLWSHKh2a30DoXe8/edit?usp=sharing"",""กระบี่!I369"")"),4051)</f>
        <v>4051</v>
      </c>
      <c r="J474" s="426">
        <f ca="1">IFERROR(__xludf.DUMMYFUNCTION("IMPORTRANGE(""https://docs.google.com/spreadsheets/d/1IYY_tgx_IHuhSq3AJ5eI5OnqOPBNLWSHKh2a30DoXe8/edit?usp=sharing"",""กระบี่!J369"")"),4051)</f>
        <v>4051</v>
      </c>
      <c r="K474" s="208">
        <f t="shared" ca="1" si="117"/>
        <v>100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IFERROR(__xludf.DUMMYFUNCTION("IMPORTRANGE(""https://docs.google.com/spreadsheets/d/1IYY_tgx_IHuhSq3AJ5eI5OnqOPBNLWSHKh2a30DoXe8/edit?usp=sharing"",""กระบี่!I370"")"),0)</f>
        <v>0</v>
      </c>
      <c r="J475" s="195">
        <f ca="1">IFERROR(__xludf.DUMMYFUNCTION("IMPORTRANGE(""https://docs.google.com/spreadsheets/d/1IYY_tgx_IHuhSq3AJ5eI5OnqOPBNLWSHKh2a30DoXe8/edit?usp=sharing"",""กระบี่!J370"")"),60350)</f>
        <v>60350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IFERROR(__xludf.DUMMYFUNCTION("IMPORTRANGE(""https://docs.google.com/spreadsheets/d/1IYY_tgx_IHuhSq3AJ5eI5OnqOPBNLWSHKh2a30DoXe8/edit?usp=sharing"",""กระบี่!I371"")"),0)</f>
        <v>0</v>
      </c>
      <c r="J476" s="195">
        <f ca="1">IFERROR(__xludf.DUMMYFUNCTION("IMPORTRANGE(""https://docs.google.com/spreadsheets/d/1IYY_tgx_IHuhSq3AJ5eI5OnqOPBNLWSHKh2a30DoXe8/edit?usp=sharing"",""กระบี่!J371"")"),3710)</f>
        <v>3710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IFERROR(__xludf.DUMMYFUNCTION("IMPORTRANGE(""https://docs.google.com/spreadsheets/d/1IYY_tgx_IHuhSq3AJ5eI5OnqOPBNLWSHKh2a30DoXe8/edit?usp=sharing"",""กระบี่!I372"")"),0)</f>
        <v>0</v>
      </c>
      <c r="J477" s="195">
        <f ca="1">IFERROR(__xludf.DUMMYFUNCTION("IMPORTRANGE(""https://docs.google.com/spreadsheets/d/1IYY_tgx_IHuhSq3AJ5eI5OnqOPBNLWSHKh2a30DoXe8/edit?usp=sharing"",""กระบี่!J372"")"),5501)</f>
        <v>5501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IFERROR(__xludf.DUMMYFUNCTION("IMPORTRANGE(""https://docs.google.com/spreadsheets/d/1IYY_tgx_IHuhSq3AJ5eI5OnqOPBNLWSHKh2a30DoXe8/edit?usp=sharing"",""กระบี่!I373"")"),0)</f>
        <v>0</v>
      </c>
      <c r="J478" s="195">
        <f ca="1">IFERROR(__xludf.DUMMYFUNCTION("IMPORTRANGE(""https://docs.google.com/spreadsheets/d/1IYY_tgx_IHuhSq3AJ5eI5OnqOPBNLWSHKh2a30DoXe8/edit?usp=sharing"",""กระบี่!J373"")"),301)</f>
        <v>301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IFERROR(__xludf.DUMMYFUNCTION("IMPORTRANGE(""https://docs.google.com/spreadsheets/d/1IYY_tgx_IHuhSq3AJ5eI5OnqOPBNLWSHKh2a30DoXe8/edit?usp=sharing"",""กระบี่!I374"")"),0)</f>
        <v>0</v>
      </c>
      <c r="J479" s="195">
        <f ca="1">IFERROR(__xludf.DUMMYFUNCTION("IMPORTRANGE(""https://docs.google.com/spreadsheets/d/1IYY_tgx_IHuhSq3AJ5eI5OnqOPBNLWSHKh2a30DoXe8/edit?usp=sharing"",""กระบี่!J374"")"),519)</f>
        <v>519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IFERROR(__xludf.DUMMYFUNCTION("IMPORTRANGE(""https://docs.google.com/spreadsheets/d/1IYY_tgx_IHuhSq3AJ5eI5OnqOPBNLWSHKh2a30DoXe8/edit?usp=sharing"",""กระบี่!I375"")"),0)</f>
        <v>0</v>
      </c>
      <c r="J480" s="195">
        <f ca="1">IFERROR(__xludf.DUMMYFUNCTION("IMPORTRANGE(""https://docs.google.com/spreadsheets/d/1IYY_tgx_IHuhSq3AJ5eI5OnqOPBNLWSHKh2a30DoXe8/edit?usp=sharing"",""กระบี่!J375"")"),40)</f>
        <v>40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IFERROR(__xludf.DUMMYFUNCTION("IMPORTRANGE(""https://docs.google.com/spreadsheets/d/1IYY_tgx_IHuhSq3AJ5eI5OnqOPBNLWSHKh2a30DoXe8/edit?usp=sharing"",""กระบี่!I376"")"),66369)</f>
        <v>66369</v>
      </c>
      <c r="J481" s="426">
        <f ca="1">IFERROR(__xludf.DUMMYFUNCTION("IMPORTRANGE(""https://docs.google.com/spreadsheets/d/1IYY_tgx_IHuhSq3AJ5eI5OnqOPBNLWSHKh2a30DoXe8/edit?usp=sharing"",""กระบี่!J376"")"),60350)</f>
        <v>60350</v>
      </c>
      <c r="K481" s="208">
        <f t="shared" ca="1" si="117"/>
        <v>90.931006946013952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IFERROR(__xludf.DUMMYFUNCTION("IMPORTRANGE(""https://docs.google.com/spreadsheets/d/1IYY_tgx_IHuhSq3AJ5eI5OnqOPBNLWSHKh2a30DoXe8/edit?usp=sharing"",""กระบี่!I377"")"),4051)</f>
        <v>4051</v>
      </c>
      <c r="J482" s="426">
        <f ca="1">IFERROR(__xludf.DUMMYFUNCTION("IMPORTRANGE(""https://docs.google.com/spreadsheets/d/1IYY_tgx_IHuhSq3AJ5eI5OnqOPBNLWSHKh2a30DoXe8/edit?usp=sharing"",""กระบี่!J377"")"),3710)</f>
        <v>3710</v>
      </c>
      <c r="K482" s="208">
        <f t="shared" ca="1" si="117"/>
        <v>91.582325351764993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IFERROR(__xludf.DUMMYFUNCTION("IMPORTRANGE(""https://docs.google.com/spreadsheets/d/1IYY_tgx_IHuhSq3AJ5eI5OnqOPBNLWSHKh2a30DoXe8/edit?usp=sharing"",""กระบี่!I378"")"),0)</f>
        <v>0</v>
      </c>
      <c r="J483" s="195">
        <f ca="1">IFERROR(__xludf.DUMMYFUNCTION("IMPORTRANGE(""https://docs.google.com/spreadsheets/d/1IYY_tgx_IHuhSq3AJ5eI5OnqOPBNLWSHKh2a30DoXe8/edit?usp=sharing"",""กระบี่!J378"")"),60350)</f>
        <v>60350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IFERROR(__xludf.DUMMYFUNCTION("IMPORTRANGE(""https://docs.google.com/spreadsheets/d/1IYY_tgx_IHuhSq3AJ5eI5OnqOPBNLWSHKh2a30DoXe8/edit?usp=sharing"",""กระบี่!I379"")"),0)</f>
        <v>0</v>
      </c>
      <c r="J484" s="195">
        <f ca="1">IFERROR(__xludf.DUMMYFUNCTION("IMPORTRANGE(""https://docs.google.com/spreadsheets/d/1IYY_tgx_IHuhSq3AJ5eI5OnqOPBNLWSHKh2a30DoXe8/edit?usp=sharing"",""กระบี่!J379"")"),3710)</f>
        <v>3710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IFERROR(__xludf.DUMMYFUNCTION("IMPORTRANGE(""https://docs.google.com/spreadsheets/d/1IYY_tgx_IHuhSq3AJ5eI5OnqOPBNLWSHKh2a30DoXe8/edit?usp=sharing"",""กระบี่!I380"")"),0)</f>
        <v>0</v>
      </c>
      <c r="J485" s="195">
        <f ca="1">IFERROR(__xludf.DUMMYFUNCTION("IMPORTRANGE(""https://docs.google.com/spreadsheets/d/1IYY_tgx_IHuhSq3AJ5eI5OnqOPBNLWSHKh2a30DoXe8/edit?usp=sharing"",""กระบี่!J380"")"),0)</f>
        <v>0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IFERROR(__xludf.DUMMYFUNCTION("IMPORTRANGE(""https://docs.google.com/spreadsheets/d/1IYY_tgx_IHuhSq3AJ5eI5OnqOPBNLWSHKh2a30DoXe8/edit?usp=sharing"",""กระบี่!I381"")"),0)</f>
        <v>0</v>
      </c>
      <c r="J486" s="195">
        <f ca="1">IFERROR(__xludf.DUMMYFUNCTION("IMPORTRANGE(""https://docs.google.com/spreadsheets/d/1IYY_tgx_IHuhSq3AJ5eI5OnqOPBNLWSHKh2a30DoXe8/edit?usp=sharing"",""กระบี่!J381"")"),0)</f>
        <v>0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IFERROR(__xludf.DUMMYFUNCTION("IMPORTRANGE(""https://docs.google.com/spreadsheets/d/1IYY_tgx_IHuhSq3AJ5eI5OnqOPBNLWSHKh2a30DoXe8/edit?usp=sharing"",""กระบี่!I382"")"),0)</f>
        <v>0</v>
      </c>
      <c r="J487" s="426">
        <f ca="1">IFERROR(__xludf.DUMMYFUNCTION("IMPORTRANGE(""https://docs.google.com/spreadsheets/d/1IYY_tgx_IHuhSq3AJ5eI5OnqOPBNLWSHKh2a30DoXe8/edit?usp=sharing"",""กระบี่!J382"")"),0)</f>
        <v>0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IFERROR(__xludf.DUMMYFUNCTION("IMPORTRANGE(""https://docs.google.com/spreadsheets/d/1IYY_tgx_IHuhSq3AJ5eI5OnqOPBNLWSHKh2a30DoXe8/edit?usp=sharing"",""กระบี่!I383"")"),0)</f>
        <v>0</v>
      </c>
      <c r="J488" s="426">
        <f ca="1">IFERROR(__xludf.DUMMYFUNCTION("IMPORTRANGE(""https://docs.google.com/spreadsheets/d/1IYY_tgx_IHuhSq3AJ5eI5OnqOPBNLWSHKh2a30DoXe8/edit?usp=sharing"",""กระบี่!J383"")"),0)</f>
        <v>0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IFERROR(__xludf.DUMMYFUNCTION("IMPORTRANGE(""https://docs.google.com/spreadsheets/d/1IYY_tgx_IHuhSq3AJ5eI5OnqOPBNLWSHKh2a30DoXe8/edit?usp=sharing"",""กระบี่!I384"")"),0)</f>
        <v>0</v>
      </c>
      <c r="J489" s="195">
        <f ca="1">IFERROR(__xludf.DUMMYFUNCTION("IMPORTRANGE(""https://docs.google.com/spreadsheets/d/1IYY_tgx_IHuhSq3AJ5eI5OnqOPBNLWSHKh2a30DoXe8/edit?usp=sharing"",""กระบี่!J384"")"),0)</f>
        <v>0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IFERROR(__xludf.DUMMYFUNCTION("IMPORTRANGE(""https://docs.google.com/spreadsheets/d/1IYY_tgx_IHuhSq3AJ5eI5OnqOPBNLWSHKh2a30DoXe8/edit?usp=sharing"",""กระบี่!I385"")"),0)</f>
        <v>0</v>
      </c>
      <c r="J490" s="195">
        <f ca="1">IFERROR(__xludf.DUMMYFUNCTION("IMPORTRANGE(""https://docs.google.com/spreadsheets/d/1IYY_tgx_IHuhSq3AJ5eI5OnqOPBNLWSHKh2a30DoXe8/edit?usp=sharing"",""กระบี่!J385"")"),0)</f>
        <v>0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IFERROR(__xludf.DUMMYFUNCTION("IMPORTRANGE(""https://docs.google.com/spreadsheets/d/1IYY_tgx_IHuhSq3AJ5eI5OnqOPBNLWSHKh2a30DoXe8/edit?usp=sharing"",""กระบี่!I386"")"),0)</f>
        <v>0</v>
      </c>
      <c r="J491" s="195">
        <f ca="1">IFERROR(__xludf.DUMMYFUNCTION("IMPORTRANGE(""https://docs.google.com/spreadsheets/d/1IYY_tgx_IHuhSq3AJ5eI5OnqOPBNLWSHKh2a30DoXe8/edit?usp=sharing"",""กระบี่!J386"")"),0)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IFERROR(__xludf.DUMMYFUNCTION("IMPORTRANGE(""https://docs.google.com/spreadsheets/d/1IYY_tgx_IHuhSq3AJ5eI5OnqOPBNLWSHKh2a30DoXe8/edit?usp=sharing"",""กระบี่!I387"")"),0)</f>
        <v>0</v>
      </c>
      <c r="J492" s="195">
        <f ca="1">IFERROR(__xludf.DUMMYFUNCTION("IMPORTRANGE(""https://docs.google.com/spreadsheets/d/1IYY_tgx_IHuhSq3AJ5eI5OnqOPBNLWSHKh2a30DoXe8/edit?usp=sharing"",""กระบี่!J387"")"),0)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IFERROR(__xludf.DUMMYFUNCTION("IMPORTRANGE(""https://docs.google.com/spreadsheets/d/1IYY_tgx_IHuhSq3AJ5eI5OnqOPBNLWSHKh2a30DoXe8/edit?usp=sharing"",""กระบี่!I388"")"),0)</f>
        <v>0</v>
      </c>
      <c r="J493" s="195">
        <f ca="1">IFERROR(__xludf.DUMMYFUNCTION("IMPORTRANGE(""https://docs.google.com/spreadsheets/d/1IYY_tgx_IHuhSq3AJ5eI5OnqOPBNLWSHKh2a30DoXe8/edit?usp=sharing"",""กระบี่!J388"")"),0)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IFERROR(__xludf.DUMMYFUNCTION("IMPORTRANGE(""https://docs.google.com/spreadsheets/d/1IYY_tgx_IHuhSq3AJ5eI5OnqOPBNLWSHKh2a30DoXe8/edit?usp=sharing"",""กระบี่!I389"")"),0)</f>
        <v>0</v>
      </c>
      <c r="J494" s="442">
        <f ca="1">IFERROR(__xludf.DUMMYFUNCTION("IMPORTRANGE(""https://docs.google.com/spreadsheets/d/1IYY_tgx_IHuhSq3AJ5eI5OnqOPBNLWSHKh2a30DoXe8/edit?usp=sharing"",""กระบี่!J389"")"),0)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IFERROR(__xludf.DUMMYFUNCTION("IMPORTRANGE(""https://docs.google.com/spreadsheets/d/1IYY_tgx_IHuhSq3AJ5eI5OnqOPBNLWSHKh2a30DoXe8/edit?usp=sharing"",""กระบี่!I390"")"),0)</f>
        <v>0</v>
      </c>
      <c r="J495" s="442">
        <f ca="1">IFERROR(__xludf.DUMMYFUNCTION("IMPORTRANGE(""https://docs.google.com/spreadsheets/d/1IYY_tgx_IHuhSq3AJ5eI5OnqOPBNLWSHKh2a30DoXe8/edit?usp=sharing"",""กระบี่!J390"")"),0)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IFERROR(__xludf.DUMMYFUNCTION("IMPORTRANGE(""https://docs.google.com/spreadsheets/d/1IYY_tgx_IHuhSq3AJ5eI5OnqOPBNLWSHKh2a30DoXe8/edit?usp=sharing"",""กระบี่!I391"")"),0)</f>
        <v>0</v>
      </c>
      <c r="J496" s="442">
        <f ca="1">IFERROR(__xludf.DUMMYFUNCTION("IMPORTRANGE(""https://docs.google.com/spreadsheets/d/1IYY_tgx_IHuhSq3AJ5eI5OnqOPBNLWSHKh2a30DoXe8/edit?usp=sharing"",""กระบี่!J391"")"),0)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IFERROR(__xludf.DUMMYFUNCTION("IMPORTRANGE(""https://docs.google.com/spreadsheets/d/1IYY_tgx_IHuhSq3AJ5eI5OnqOPBNLWSHKh2a30DoXe8/edit?usp=sharing"",""กระบี่!I392"")"),497)</f>
        <v>497</v>
      </c>
      <c r="J497" s="449">
        <f ca="1">IFERROR(__xludf.DUMMYFUNCTION("IMPORTRANGE(""https://docs.google.com/spreadsheets/d/1IYY_tgx_IHuhSq3AJ5eI5OnqOPBNLWSHKh2a30DoXe8/edit?usp=sharing"",""กระบี่!J392"")"),225)</f>
        <v>225</v>
      </c>
      <c r="K497" s="450">
        <f t="shared" ca="1" si="117"/>
        <v>45.271629778672029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IFERROR(__xludf.DUMMYFUNCTION("IMPORTRANGE(""https://docs.google.com/spreadsheets/d/1IYY_tgx_IHuhSq3AJ5eI5OnqOPBNLWSHKh2a30DoXe8/edit?usp=sharing"",""กระบี่!I393"")"),497)</f>
        <v>497</v>
      </c>
      <c r="J498" s="426">
        <f ca="1">IFERROR(__xludf.DUMMYFUNCTION("IMPORTRANGE(""https://docs.google.com/spreadsheets/d/1IYY_tgx_IHuhSq3AJ5eI5OnqOPBNLWSHKh2a30DoXe8/edit?usp=sharing"",""กระบี่!J393"")"),225)</f>
        <v>225</v>
      </c>
      <c r="K498" s="167">
        <f t="shared" ca="1" si="117"/>
        <v>45.271629778672029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IFERROR(__xludf.DUMMYFUNCTION("IMPORTRANGE(""https://docs.google.com/spreadsheets/d/1IYY_tgx_IHuhSq3AJ5eI5OnqOPBNLWSHKh2a30DoXe8/edit?usp=sharing"",""กระบี่!I394"")"),55)</f>
        <v>55</v>
      </c>
      <c r="J499" s="426">
        <f ca="1">IFERROR(__xludf.DUMMYFUNCTION("IMPORTRANGE(""https://docs.google.com/spreadsheets/d/1IYY_tgx_IHuhSq3AJ5eI5OnqOPBNLWSHKh2a30DoXe8/edit?usp=sharing"",""กระบี่!J394"")"),18)</f>
        <v>18</v>
      </c>
      <c r="K499" s="208">
        <f t="shared" ca="1" si="117"/>
        <v>32.727272727272727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IFERROR(__xludf.DUMMYFUNCTION("IMPORTRANGE(""https://docs.google.com/spreadsheets/d/1IYY_tgx_IHuhSq3AJ5eI5OnqOPBNLWSHKh2a30DoXe8/edit?usp=sharing"",""กระบี่!I395"")"),0)</f>
        <v>0</v>
      </c>
      <c r="J500" s="166">
        <f ca="1">IFERROR(__xludf.DUMMYFUNCTION("IMPORTRANGE(""https://docs.google.com/spreadsheets/d/1IYY_tgx_IHuhSq3AJ5eI5OnqOPBNLWSHKh2a30DoXe8/edit?usp=sharing"",""กระบี่!J395"")"),225)</f>
        <v>225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IFERROR(__xludf.DUMMYFUNCTION("IMPORTRANGE(""https://docs.google.com/spreadsheets/d/1IYY_tgx_IHuhSq3AJ5eI5OnqOPBNLWSHKh2a30DoXe8/edit?usp=sharing"",""กระบี่!I396"")"),0)</f>
        <v>0</v>
      </c>
      <c r="J501" s="166">
        <f ca="1">IFERROR(__xludf.DUMMYFUNCTION("IMPORTRANGE(""https://docs.google.com/spreadsheets/d/1IYY_tgx_IHuhSq3AJ5eI5OnqOPBNLWSHKh2a30DoXe8/edit?usp=sharing"",""กระบี่!J396"")"),18)</f>
        <v>18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IFERROR(__xludf.DUMMYFUNCTION("IMPORTRANGE(""https://docs.google.com/spreadsheets/d/1IYY_tgx_IHuhSq3AJ5eI5OnqOPBNLWSHKh2a30DoXe8/edit?usp=sharing"",""กระบี่!I397"")"),0)</f>
        <v>0</v>
      </c>
      <c r="J502" s="195">
        <f ca="1">IFERROR(__xludf.DUMMYFUNCTION("IMPORTRANGE(""https://docs.google.com/spreadsheets/d/1IYY_tgx_IHuhSq3AJ5eI5OnqOPBNLWSHKh2a30DoXe8/edit?usp=sharing"",""กระบี่!J397"")"),225)</f>
        <v>225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IFERROR(__xludf.DUMMYFUNCTION("IMPORTRANGE(""https://docs.google.com/spreadsheets/d/1IYY_tgx_IHuhSq3AJ5eI5OnqOPBNLWSHKh2a30DoXe8/edit?usp=sharing"",""กระบี่!I398"")"),0)</f>
        <v>0</v>
      </c>
      <c r="J503" s="204">
        <f ca="1">IFERROR(__xludf.DUMMYFUNCTION("IMPORTRANGE(""https://docs.google.com/spreadsheets/d/1IYY_tgx_IHuhSq3AJ5eI5OnqOPBNLWSHKh2a30DoXe8/edit?usp=sharing"",""กระบี่!J398"")"),18)</f>
        <v>18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IFERROR(__xludf.DUMMYFUNCTION("IMPORTRANGE(""https://docs.google.com/spreadsheets/d/1IYY_tgx_IHuhSq3AJ5eI5OnqOPBNLWSHKh2a30DoXe8/edit?usp=sharing"",""กระบี่!I399"")"),0)</f>
        <v>0</v>
      </c>
      <c r="J504" s="195">
        <f ca="1">IFERROR(__xludf.DUMMYFUNCTION("IMPORTRANGE(""https://docs.google.com/spreadsheets/d/1IYY_tgx_IHuhSq3AJ5eI5OnqOPBNLWSHKh2a30DoXe8/edit?usp=sharing"",""กระบี่!J399"")"),0)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IFERROR(__xludf.DUMMYFUNCTION("IMPORTRANGE(""https://docs.google.com/spreadsheets/d/1IYY_tgx_IHuhSq3AJ5eI5OnqOPBNLWSHKh2a30DoXe8/edit?usp=sharing"",""กระบี่!I400"")"),0)</f>
        <v>0</v>
      </c>
      <c r="J505" s="204">
        <f ca="1">IFERROR(__xludf.DUMMYFUNCTION("IMPORTRANGE(""https://docs.google.com/spreadsheets/d/1IYY_tgx_IHuhSq3AJ5eI5OnqOPBNLWSHKh2a30DoXe8/edit?usp=sharing"",""กระบี่!J400"")"),0)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IFERROR(__xludf.DUMMYFUNCTION("IMPORTRANGE(""https://docs.google.com/spreadsheets/d/1IYY_tgx_IHuhSq3AJ5eI5OnqOPBNLWSHKh2a30DoXe8/edit?usp=sharing"",""กระบี่!I401"")"),0)</f>
        <v>0</v>
      </c>
      <c r="J506" s="195">
        <f ca="1">IFERROR(__xludf.DUMMYFUNCTION("IMPORTRANGE(""https://docs.google.com/spreadsheets/d/1IYY_tgx_IHuhSq3AJ5eI5OnqOPBNLWSHKh2a30DoXe8/edit?usp=sharing"",""กระบี่!J401"")"),0)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IFERROR(__xludf.DUMMYFUNCTION("IMPORTRANGE(""https://docs.google.com/spreadsheets/d/1IYY_tgx_IHuhSq3AJ5eI5OnqOPBNLWSHKh2a30DoXe8/edit?usp=sharing"",""กระบี่!I402"")"),0)</f>
        <v>0</v>
      </c>
      <c r="J507" s="204">
        <f ca="1">IFERROR(__xludf.DUMMYFUNCTION("IMPORTRANGE(""https://docs.google.com/spreadsheets/d/1IYY_tgx_IHuhSq3AJ5eI5OnqOPBNLWSHKh2a30DoXe8/edit?usp=sharing"",""กระบี่!J402"")"),0)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IFERROR(__xludf.DUMMYFUNCTION("IMPORTRANGE(""https://docs.google.com/spreadsheets/d/1IYY_tgx_IHuhSq3AJ5eI5OnqOPBNLWSHKh2a30DoXe8/edit?usp=sharing"",""กระบี่!I403"")"),0)</f>
        <v>0</v>
      </c>
      <c r="J508" s="166">
        <f ca="1">IFERROR(__xludf.DUMMYFUNCTION("IMPORTRANGE(""https://docs.google.com/spreadsheets/d/1IYY_tgx_IHuhSq3AJ5eI5OnqOPBNLWSHKh2a30DoXe8/edit?usp=sharing"",""กระบี่!J403"")"),0)</f>
        <v>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IFERROR(__xludf.DUMMYFUNCTION("IMPORTRANGE(""https://docs.google.com/spreadsheets/d/1IYY_tgx_IHuhSq3AJ5eI5OnqOPBNLWSHKh2a30DoXe8/edit?usp=sharing"",""กระบี่!I404"")"),0)</f>
        <v>0</v>
      </c>
      <c r="J509" s="166">
        <f ca="1">IFERROR(__xludf.DUMMYFUNCTION("IMPORTRANGE(""https://docs.google.com/spreadsheets/d/1IYY_tgx_IHuhSq3AJ5eI5OnqOPBNLWSHKh2a30DoXe8/edit?usp=sharing"",""กระบี่!J404"")"),0)</f>
        <v>0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IFERROR(__xludf.DUMMYFUNCTION("IMPORTRANGE(""https://docs.google.com/spreadsheets/d/1IYY_tgx_IHuhSq3AJ5eI5OnqOPBNLWSHKh2a30DoXe8/edit?usp=sharing"",""กระบี่!I405"")"),0)</f>
        <v>0</v>
      </c>
      <c r="J510" s="204">
        <f ca="1">IFERROR(__xludf.DUMMYFUNCTION("IMPORTRANGE(""https://docs.google.com/spreadsheets/d/1IYY_tgx_IHuhSq3AJ5eI5OnqOPBNLWSHKh2a30DoXe8/edit?usp=sharing"",""กระบี่!J405"")"),0)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IFERROR(__xludf.DUMMYFUNCTION("IMPORTRANGE(""https://docs.google.com/spreadsheets/d/1IYY_tgx_IHuhSq3AJ5eI5OnqOPBNLWSHKh2a30DoXe8/edit?usp=sharing"",""กระบี่!I406"")"),0)</f>
        <v>0</v>
      </c>
      <c r="J511" s="204">
        <f ca="1">IFERROR(__xludf.DUMMYFUNCTION("IMPORTRANGE(""https://docs.google.com/spreadsheets/d/1IYY_tgx_IHuhSq3AJ5eI5OnqOPBNLWSHKh2a30DoXe8/edit?usp=sharing"",""กระบี่!J406"")"),0)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IFERROR(__xludf.DUMMYFUNCTION("IMPORTRANGE(""https://docs.google.com/spreadsheets/d/1IYY_tgx_IHuhSq3AJ5eI5OnqOPBNLWSHKh2a30DoXe8/edit?usp=sharing"",""กระบี่!I407"")"),0)</f>
        <v>0</v>
      </c>
      <c r="J512" s="204">
        <f ca="1">IFERROR(__xludf.DUMMYFUNCTION("IMPORTRANGE(""https://docs.google.com/spreadsheets/d/1IYY_tgx_IHuhSq3AJ5eI5OnqOPBNLWSHKh2a30DoXe8/edit?usp=sharing"",""กระบี่!J407"")"),0)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IFERROR(__xludf.DUMMYFUNCTION("IMPORTRANGE(""https://docs.google.com/spreadsheets/d/1IYY_tgx_IHuhSq3AJ5eI5OnqOPBNLWSHKh2a30DoXe8/edit?usp=sharing"",""กระบี่!I408"")"),0)</f>
        <v>0</v>
      </c>
      <c r="J513" s="204">
        <f ca="1">IFERROR(__xludf.DUMMYFUNCTION("IMPORTRANGE(""https://docs.google.com/spreadsheets/d/1IYY_tgx_IHuhSq3AJ5eI5OnqOPBNLWSHKh2a30DoXe8/edit?usp=sharing"",""กระบี่!J408"")"),0)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IFERROR(__xludf.DUMMYFUNCTION("IMPORTRANGE(""https://docs.google.com/spreadsheets/d/1IYY_tgx_IHuhSq3AJ5eI5OnqOPBNLWSHKh2a30DoXe8/edit?usp=sharing"",""กระบี่!I409"")"),0)</f>
        <v>0</v>
      </c>
      <c r="J514" s="204">
        <f ca="1">IFERROR(__xludf.DUMMYFUNCTION("IMPORTRANGE(""https://docs.google.com/spreadsheets/d/1IYY_tgx_IHuhSq3AJ5eI5OnqOPBNLWSHKh2a30DoXe8/edit?usp=sharing"",""กระบี่!J409"")"),0)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IFERROR(__xludf.DUMMYFUNCTION("IMPORTRANGE(""https://docs.google.com/spreadsheets/d/1IYY_tgx_IHuhSq3AJ5eI5OnqOPBNLWSHKh2a30DoXe8/edit?usp=sharing"",""กระบี่!I410"")"),0)</f>
        <v>0</v>
      </c>
      <c r="J515" s="204">
        <f ca="1">IFERROR(__xludf.DUMMYFUNCTION("IMPORTRANGE(""https://docs.google.com/spreadsheets/d/1IYY_tgx_IHuhSq3AJ5eI5OnqOPBNLWSHKh2a30DoXe8/edit?usp=sharing"",""กระบี่!J410"")"),0)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IFERROR(__xludf.DUMMYFUNCTION("IMPORTRANGE(""https://docs.google.com/spreadsheets/d/1IYY_tgx_IHuhSq3AJ5eI5OnqOPBNLWSHKh2a30DoXe8/edit?usp=sharing"",""กระบี่!I411"")"),0)</f>
        <v>0</v>
      </c>
      <c r="J516" s="273">
        <f ca="1">IFERROR(__xludf.DUMMYFUNCTION("IMPORTRANGE(""https://docs.google.com/spreadsheets/d/1IYY_tgx_IHuhSq3AJ5eI5OnqOPBNLWSHKh2a30DoXe8/edit?usp=sharing"",""กระบี่!J411"")"),0)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IFERROR(__xludf.DUMMYFUNCTION("IMPORTRANGE(""https://docs.google.com/spreadsheets/d/1IYY_tgx_IHuhSq3AJ5eI5OnqOPBNLWSHKh2a30DoXe8/edit?usp=sharing"",""กระบี่!I412"")"),0)</f>
        <v>0</v>
      </c>
      <c r="J517" s="290">
        <f ca="1">IFERROR(__xludf.DUMMYFUNCTION("IMPORTRANGE(""https://docs.google.com/spreadsheets/d/1IYY_tgx_IHuhSq3AJ5eI5OnqOPBNLWSHKh2a30DoXe8/edit?usp=sharing"",""กระบี่!J412"")"),0)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IFERROR(__xludf.DUMMYFUNCTION("IMPORTRANGE(""https://docs.google.com/spreadsheets/d/1IYY_tgx_IHuhSq3AJ5eI5OnqOPBNLWSHKh2a30DoXe8/edit?usp=sharing"",""กระบี่!I413"")"),0)</f>
        <v>0</v>
      </c>
      <c r="J518" s="290">
        <f ca="1">IFERROR(__xludf.DUMMYFUNCTION("IMPORTRANGE(""https://docs.google.com/spreadsheets/d/1IYY_tgx_IHuhSq3AJ5eI5OnqOPBNLWSHKh2a30DoXe8/edit?usp=sharing"",""กระบี่!J413"")"),0)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IFERROR(__xludf.DUMMYFUNCTION("IMPORTRANGE(""https://docs.google.com/spreadsheets/d/1IYY_tgx_IHuhSq3AJ5eI5OnqOPBNLWSHKh2a30DoXe8/edit?usp=sharing"",""กระบี่!I414"")"),0)</f>
        <v>0</v>
      </c>
      <c r="J519" s="194">
        <f ca="1">IFERROR(__xludf.DUMMYFUNCTION("IMPORTRANGE(""https://docs.google.com/spreadsheets/d/1IYY_tgx_IHuhSq3AJ5eI5OnqOPBNLWSHKh2a30DoXe8/edit?usp=sharing"",""กระบี่!J414"")"),0)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IFERROR(__xludf.DUMMYFUNCTION("IMPORTRANGE(""https://docs.google.com/spreadsheets/d/1IYY_tgx_IHuhSq3AJ5eI5OnqOPBNLWSHKh2a30DoXe8/edit?usp=sharing"",""กระบี่!I415"")"),0)</f>
        <v>0</v>
      </c>
      <c r="J520" s="194">
        <f ca="1">IFERROR(__xludf.DUMMYFUNCTION("IMPORTRANGE(""https://docs.google.com/spreadsheets/d/1IYY_tgx_IHuhSq3AJ5eI5OnqOPBNLWSHKh2a30DoXe8/edit?usp=sharing"",""กระบี่!J415"")"),0)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IFERROR(__xludf.DUMMYFUNCTION("IMPORTRANGE(""https://docs.google.com/spreadsheets/d/1IYY_tgx_IHuhSq3AJ5eI5OnqOPBNLWSHKh2a30DoXe8/edit?usp=sharing"",""กระบี่!I416"")"),0)</f>
        <v>0</v>
      </c>
      <c r="J521" s="194">
        <f ca="1">IFERROR(__xludf.DUMMYFUNCTION("IMPORTRANGE(""https://docs.google.com/spreadsheets/d/1IYY_tgx_IHuhSq3AJ5eI5OnqOPBNLWSHKh2a30DoXe8/edit?usp=sharing"",""กระบี่!J416"")"),0)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IFERROR(__xludf.DUMMYFUNCTION("IMPORTRANGE(""https://docs.google.com/spreadsheets/d/1IYY_tgx_IHuhSq3AJ5eI5OnqOPBNLWSHKh2a30DoXe8/edit?usp=sharing"",""กระบี่!I417"")"),0)</f>
        <v>0</v>
      </c>
      <c r="J522" s="194">
        <f ca="1">IFERROR(__xludf.DUMMYFUNCTION("IMPORTRANGE(""https://docs.google.com/spreadsheets/d/1IYY_tgx_IHuhSq3AJ5eI5OnqOPBNLWSHKh2a30DoXe8/edit?usp=sharing"",""กระบี่!J417"")"),0)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IFERROR(__xludf.DUMMYFUNCTION("IMPORTRANGE(""https://docs.google.com/spreadsheets/d/1IYY_tgx_IHuhSq3AJ5eI5OnqOPBNLWSHKh2a30DoXe8/edit?usp=sharing"",""กระบี่!I418"")"),0)</f>
        <v>0</v>
      </c>
      <c r="J523" s="194">
        <f ca="1">IFERROR(__xludf.DUMMYFUNCTION("IMPORTRANGE(""https://docs.google.com/spreadsheets/d/1IYY_tgx_IHuhSq3AJ5eI5OnqOPBNLWSHKh2a30DoXe8/edit?usp=sharing"",""กระบี่!J418"")"),288)</f>
        <v>288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IFERROR(__xludf.DUMMYFUNCTION("IMPORTRANGE(""https://docs.google.com/spreadsheets/d/1IYY_tgx_IHuhSq3AJ5eI5OnqOPBNLWSHKh2a30DoXe8/edit?usp=sharing"",""กระบี่!I419"")"),0)</f>
        <v>0</v>
      </c>
      <c r="J524" s="194">
        <f ca="1">IFERROR(__xludf.DUMMYFUNCTION("IMPORTRANGE(""https://docs.google.com/spreadsheets/d/1IYY_tgx_IHuhSq3AJ5eI5OnqOPBNLWSHKh2a30DoXe8/edit?usp=sharing"",""กระบี่!J419"")"),22)</f>
        <v>22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IFERROR(__xludf.DUMMYFUNCTION("IMPORTRANGE(""https://docs.google.com/spreadsheets/d/1IYY_tgx_IHuhSq3AJ5eI5OnqOPBNLWSHKh2a30DoXe8/edit?usp=sharing"",""กระบี่!I420"")"),288)</f>
        <v>288</v>
      </c>
      <c r="J525" s="290">
        <f ca="1">IFERROR(__xludf.DUMMYFUNCTION("IMPORTRANGE(""https://docs.google.com/spreadsheets/d/1IYY_tgx_IHuhSq3AJ5eI5OnqOPBNLWSHKh2a30DoXe8/edit?usp=sharing"",""กระบี่!J420"")"),225)</f>
        <v>225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IFERROR(__xludf.DUMMYFUNCTION("IMPORTRANGE(""https://docs.google.com/spreadsheets/d/1IYY_tgx_IHuhSq3AJ5eI5OnqOPBNLWSHKh2a30DoXe8/edit?usp=sharing"",""กระบี่!I421"")"),22)</f>
        <v>22</v>
      </c>
      <c r="J526" s="290">
        <f ca="1">IFERROR(__xludf.DUMMYFUNCTION("IMPORTRANGE(""https://docs.google.com/spreadsheets/d/1IYY_tgx_IHuhSq3AJ5eI5OnqOPBNLWSHKh2a30DoXe8/edit?usp=sharing"",""กระบี่!J421"")"),18)</f>
        <v>18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IFERROR(__xludf.DUMMYFUNCTION("IMPORTRANGE(""https://docs.google.com/spreadsheets/d/1IYY_tgx_IHuhSq3AJ5eI5OnqOPBNLWSHKh2a30DoXe8/edit?usp=sharing"",""กระบี่!I422"")"),0)</f>
        <v>0</v>
      </c>
      <c r="J527" s="204">
        <f ca="1">IFERROR(__xludf.DUMMYFUNCTION("IMPORTRANGE(""https://docs.google.com/spreadsheets/d/1IYY_tgx_IHuhSq3AJ5eI5OnqOPBNLWSHKh2a30DoXe8/edit?usp=sharing"",""กระบี่!J422"")"),0)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IFERROR(__xludf.DUMMYFUNCTION("IMPORTRANGE(""https://docs.google.com/spreadsheets/d/1IYY_tgx_IHuhSq3AJ5eI5OnqOPBNLWSHKh2a30DoXe8/edit?usp=sharing"",""กระบี่!I423"")"),0)</f>
        <v>0</v>
      </c>
      <c r="J528" s="204">
        <f ca="1">IFERROR(__xludf.DUMMYFUNCTION("IMPORTRANGE(""https://docs.google.com/spreadsheets/d/1IYY_tgx_IHuhSq3AJ5eI5OnqOPBNLWSHKh2a30DoXe8/edit?usp=sharing"",""กระบี่!J423"")"),0)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IFERROR(__xludf.DUMMYFUNCTION("IMPORTRANGE(""https://docs.google.com/spreadsheets/d/1IYY_tgx_IHuhSq3AJ5eI5OnqOPBNLWSHKh2a30DoXe8/edit?usp=sharing"",""กระบี่!I424"")"),0)</f>
        <v>0</v>
      </c>
      <c r="J529" s="204">
        <f ca="1">IFERROR(__xludf.DUMMYFUNCTION("IMPORTRANGE(""https://docs.google.com/spreadsheets/d/1IYY_tgx_IHuhSq3AJ5eI5OnqOPBNLWSHKh2a30DoXe8/edit?usp=sharing"",""กระบี่!J424"")"),0)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IFERROR(__xludf.DUMMYFUNCTION("IMPORTRANGE(""https://docs.google.com/spreadsheets/d/1IYY_tgx_IHuhSq3AJ5eI5OnqOPBNLWSHKh2a30DoXe8/edit?usp=sharing"",""กระบี่!I425"")"),0)</f>
        <v>0</v>
      </c>
      <c r="J530" s="204">
        <f ca="1">IFERROR(__xludf.DUMMYFUNCTION("IMPORTRANGE(""https://docs.google.com/spreadsheets/d/1IYY_tgx_IHuhSq3AJ5eI5OnqOPBNLWSHKh2a30DoXe8/edit?usp=sharing"",""กระบี่!J425"")"),0)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IFERROR(__xludf.DUMMYFUNCTION("IMPORTRANGE(""https://docs.google.com/spreadsheets/d/1IYY_tgx_IHuhSq3AJ5eI5OnqOPBNLWSHKh2a30DoXe8/edit?usp=sharing"",""กระบี่!I426"")"),0)</f>
        <v>0</v>
      </c>
      <c r="J531" s="204">
        <f ca="1">IFERROR(__xludf.DUMMYFUNCTION("IMPORTRANGE(""https://docs.google.com/spreadsheets/d/1IYY_tgx_IHuhSq3AJ5eI5OnqOPBNLWSHKh2a30DoXe8/edit?usp=sharing"",""กระบี่!J426"")"),225)</f>
        <v>225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IFERROR(__xludf.DUMMYFUNCTION("IMPORTRANGE(""https://docs.google.com/spreadsheets/d/1IYY_tgx_IHuhSq3AJ5eI5OnqOPBNLWSHKh2a30DoXe8/edit?usp=sharing"",""กระบี่!I427"")"),0)</f>
        <v>0</v>
      </c>
      <c r="J532" s="472">
        <f ca="1">IFERROR(__xludf.DUMMYFUNCTION("IMPORTRANGE(""https://docs.google.com/spreadsheets/d/1IYY_tgx_IHuhSq3AJ5eI5OnqOPBNLWSHKh2a30DoXe8/edit?usp=sharing"",""กระบี่!J427"")"),18)</f>
        <v>18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IFERROR(__xludf.DUMMYFUNCTION("IMPORTRANGE(""https://docs.google.com/spreadsheets/d/1IYY_tgx_IHuhSq3AJ5eI5OnqOPBNLWSHKh2a30DoXe8/edit?usp=sharing"",""กระบี่!I428"")"),22)</f>
        <v>22</v>
      </c>
      <c r="J533" s="416">
        <f ca="1">IFERROR(__xludf.DUMMYFUNCTION("IMPORTRANGE(""https://docs.google.com/spreadsheets/d/1IYY_tgx_IHuhSq3AJ5eI5OnqOPBNLWSHKh2a30DoXe8/edit?usp=sharing"",""กระบี่!J428"")"),22)</f>
        <v>22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IFERROR(__xludf.DUMMYFUNCTION("IMPORTRANGE(""https://docs.google.com/spreadsheets/d/1IYY_tgx_IHuhSq3AJ5eI5OnqOPBNLWSHKh2a30DoXe8/edit?usp=sharing"",""กระบี่!L428"")"),34340)</f>
        <v>34340</v>
      </c>
      <c r="M533" s="418"/>
      <c r="N533" s="418">
        <f ca="1">IFERROR(__xludf.DUMMYFUNCTION("IMPORTRANGE(""https://docs.google.com/spreadsheets/d/1IYY_tgx_IHuhSq3AJ5eI5OnqOPBNLWSHKh2a30DoXe8/edit?usp=sharing"",""กระบี่!M428"")"),34340)</f>
        <v>34340</v>
      </c>
      <c r="O533" s="418">
        <f t="shared" ref="O533:O537" ca="1" si="118">+IF(L533&gt;0,N533*100/L533,0)</f>
        <v>100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IFERROR(__xludf.DUMMYFUNCTION("IMPORTRANGE(""https://docs.google.com/spreadsheets/d/1IYY_tgx_IHuhSq3AJ5eI5OnqOPBNLWSHKh2a30DoXe8/edit?usp=sharing"",""กระบี่!L429"")"),0)</f>
        <v>0</v>
      </c>
      <c r="M534" s="168"/>
      <c r="N534" s="175">
        <f ca="1">IFERROR(__xludf.DUMMYFUNCTION("IMPORTRANGE(""https://docs.google.com/spreadsheets/d/1IYY_tgx_IHuhSq3AJ5eI5OnqOPBNLWSHKh2a30DoXe8/edit?usp=sharing"",""กระบี่!M429"")"),0)</f>
        <v>0</v>
      </c>
      <c r="O534" s="175">
        <f t="shared" ca="1" si="118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IFERROR(__xludf.DUMMYFUNCTION("IMPORTRANGE(""https://docs.google.com/spreadsheets/d/1IYY_tgx_IHuhSq3AJ5eI5OnqOPBNLWSHKh2a30DoXe8/edit?usp=sharing"",""กระบี่!L430"")"),34340)</f>
        <v>34340</v>
      </c>
      <c r="M535" s="169"/>
      <c r="N535" s="175">
        <f ca="1">IFERROR(__xludf.DUMMYFUNCTION("IMPORTRANGE(""https://docs.google.com/spreadsheets/d/1IYY_tgx_IHuhSq3AJ5eI5OnqOPBNLWSHKh2a30DoXe8/edit?usp=sharing"",""กระบี่!M430"")"),34340)</f>
        <v>34340</v>
      </c>
      <c r="O535" s="175">
        <f t="shared" ca="1" si="118"/>
        <v>100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IFERROR(__xludf.DUMMYFUNCTION("IMPORTRANGE(""https://docs.google.com/spreadsheets/d/1IYY_tgx_IHuhSq3AJ5eI5OnqOPBNLWSHKh2a30DoXe8/edit?usp=sharing"",""กระบี่!L431"")"),0)</f>
        <v>0</v>
      </c>
      <c r="M536" s="175"/>
      <c r="N536" s="175">
        <f ca="1">IFERROR(__xludf.DUMMYFUNCTION("IMPORTRANGE(""https://docs.google.com/spreadsheets/d/1IYY_tgx_IHuhSq3AJ5eI5OnqOPBNLWSHKh2a30DoXe8/edit?usp=sharing"",""กระบี่!M431"")"),0)</f>
        <v>0</v>
      </c>
      <c r="O536" s="175">
        <f t="shared" ca="1" si="118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IFERROR(__xludf.DUMMYFUNCTION("IMPORTRANGE(""https://docs.google.com/spreadsheets/d/1IYY_tgx_IHuhSq3AJ5eI5OnqOPBNLWSHKh2a30DoXe8/edit?usp=sharing"",""กระบี่!L432"")"),34340)</f>
        <v>34340</v>
      </c>
      <c r="M537" s="175"/>
      <c r="N537" s="175">
        <f ca="1">IFERROR(__xludf.DUMMYFUNCTION("IMPORTRANGE(""https://docs.google.com/spreadsheets/d/1IYY_tgx_IHuhSq3AJ5eI5OnqOPBNLWSHKh2a30DoXe8/edit?usp=sharing"",""กระบี่!M432"")"),34340)</f>
        <v>34340</v>
      </c>
      <c r="O537" s="175">
        <f t="shared" ca="1" si="118"/>
        <v>100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IFERROR(__xludf.DUMMYFUNCTION("IMPORTRANGE(""https://docs.google.com/spreadsheets/d/1IYY_tgx_IHuhSq3AJ5eI5OnqOPBNLWSHKh2a30DoXe8/edit?usp=sharing"",""กระบี่!M433"")"),18740)</f>
        <v>18740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IFERROR(__xludf.DUMMYFUNCTION("IMPORTRANGE(""https://docs.google.com/spreadsheets/d/1IYY_tgx_IHuhSq3AJ5eI5OnqOPBNLWSHKh2a30DoXe8/edit?usp=sharing"",""กระบี่!M434"")"),0)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IFERROR(__xludf.DUMMYFUNCTION("IMPORTRANGE(""https://docs.google.com/spreadsheets/d/1IYY_tgx_IHuhSq3AJ5eI5OnqOPBNLWSHKh2a30DoXe8/edit?usp=sharing"",""กระบี่!M435"")"),0)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IFERROR(__xludf.DUMMYFUNCTION("IMPORTRANGE(""https://docs.google.com/spreadsheets/d/1IYY_tgx_IHuhSq3AJ5eI5OnqOPBNLWSHKh2a30DoXe8/edit?usp=sharing"",""กระบี่!M436"")"),15600)</f>
        <v>15600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IFERROR(__xludf.DUMMYFUNCTION("IMPORTRANGE(""https://docs.google.com/spreadsheets/d/1IYY_tgx_IHuhSq3AJ5eI5OnqOPBNLWSHKh2a30DoXe8/edit?usp=sharing"",""กระบี่!J438"")"),0)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IFERROR(__xludf.DUMMYFUNCTION("IMPORTRANGE(""https://docs.google.com/spreadsheets/d/1IYY_tgx_IHuhSq3AJ5eI5OnqOPBNLWSHKh2a30DoXe8/edit?usp=sharing"",""กระบี่!J439"")"),0)</f>
        <v>0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IFERROR(__xludf.DUMMYFUNCTION("IMPORTRANGE(""https://docs.google.com/spreadsheets/d/1IYY_tgx_IHuhSq3AJ5eI5OnqOPBNLWSHKh2a30DoXe8/edit?usp=sharing"",""กระบี่!J440"")"),1)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IFERROR(__xludf.DUMMYFUNCTION("IMPORTRANGE(""https://docs.google.com/spreadsheets/d/1IYY_tgx_IHuhSq3AJ5eI5OnqOPBNLWSHKh2a30DoXe8/edit?usp=sharing"",""กระบี่!J441"")"),1)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IFERROR(__xludf.DUMMYFUNCTION("IMPORTRANGE(""https://docs.google.com/spreadsheets/d/1IYY_tgx_IHuhSq3AJ5eI5OnqOPBNLWSHKh2a30DoXe8/edit?usp=sharing"",""กระบี่!I442"")"),22)</f>
        <v>22</v>
      </c>
      <c r="J547" s="195">
        <f ca="1">IFERROR(__xludf.DUMMYFUNCTION("IMPORTRANGE(""https://docs.google.com/spreadsheets/d/1IYY_tgx_IHuhSq3AJ5eI5OnqOPBNLWSHKh2a30DoXe8/edit?usp=sharing"",""กระบี่!J442"")"),22)</f>
        <v>22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IFERROR(__xludf.DUMMYFUNCTION("IMPORTRANGE(""https://docs.google.com/spreadsheets/d/1IYY_tgx_IHuhSq3AJ5eI5OnqOPBNLWSHKh2a30DoXe8/edit?usp=sharing"",""กระบี่!J166"")"),0)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IFERROR(__xludf.DUMMYFUNCTION("IMPORTRANGE(""https://docs.google.com/spreadsheets/d/1IYY_tgx_IHuhSq3AJ5eI5OnqOPBNLWSHKh2a30DoXe8/edit?usp=sharing"",""กระบี่!J444"")"),1)</f>
        <v>1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IFERROR(__xludf.DUMMYFUNCTION("IMPORTRANGE(""https://docs.google.com/spreadsheets/d/1IYY_tgx_IHuhSq3AJ5eI5OnqOPBNLWSHKh2a30DoXe8/edit?usp=sharing"",""กระบี่!J445"")"),1)</f>
        <v>1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IFERROR(__xludf.DUMMYFUNCTION("IMPORTRANGE(""https://docs.google.com/spreadsheets/d/1IYY_tgx_IHuhSq3AJ5eI5OnqOPBNLWSHKh2a30DoXe8/edit?usp=sharing"",""กระบี่!I446"")"),0)</f>
        <v>0</v>
      </c>
      <c r="J551" s="416">
        <f ca="1">IFERROR(__xludf.DUMMYFUNCTION("IMPORTRANGE(""https://docs.google.com/spreadsheets/d/1IYY_tgx_IHuhSq3AJ5eI5OnqOPBNLWSHKh2a30DoXe8/edit?usp=sharing"",""กระบี่!J446"")"),0)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IFERROR(__xludf.DUMMYFUNCTION("IMPORTRANGE(""https://docs.google.com/spreadsheets/d/1IYY_tgx_IHuhSq3AJ5eI5OnqOPBNLWSHKh2a30DoXe8/edit?usp=sharing"",""กระบี่!L446"")"),0)</f>
        <v>0</v>
      </c>
      <c r="M551" s="418"/>
      <c r="N551" s="418">
        <f ca="1">IFERROR(__xludf.DUMMYFUNCTION("IMPORTRANGE(""https://docs.google.com/spreadsheets/d/1IYY_tgx_IHuhSq3AJ5eI5OnqOPBNLWSHKh2a30DoXe8/edit?usp=sharing"",""กระบี่!M446"")"),0)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IFERROR(__xludf.DUMMYFUNCTION("IMPORTRANGE(""https://docs.google.com/spreadsheets/d/1IYY_tgx_IHuhSq3AJ5eI5OnqOPBNLWSHKh2a30DoXe8/edit?usp=sharing"",""กระบี่!L447"")"),0)</f>
        <v>0</v>
      </c>
      <c r="M552" s="168"/>
      <c r="N552" s="175">
        <f ca="1">IFERROR(__xludf.DUMMYFUNCTION("IMPORTRANGE(""https://docs.google.com/spreadsheets/d/1IYY_tgx_IHuhSq3AJ5eI5OnqOPBNLWSHKh2a30DoXe8/edit?usp=sharing"",""กระบี่!M447"")"),0)</f>
        <v>0</v>
      </c>
      <c r="O552" s="175">
        <f t="shared" ca="1" si="120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IFERROR(__xludf.DUMMYFUNCTION("IMPORTRANGE(""https://docs.google.com/spreadsheets/d/1IYY_tgx_IHuhSq3AJ5eI5OnqOPBNLWSHKh2a30DoXe8/edit?usp=sharing"",""กระบี่!L448"")"),0)</f>
        <v>0</v>
      </c>
      <c r="M553" s="169"/>
      <c r="N553" s="175">
        <f ca="1">IFERROR(__xludf.DUMMYFUNCTION("IMPORTRANGE(""https://docs.google.com/spreadsheets/d/1IYY_tgx_IHuhSq3AJ5eI5OnqOPBNLWSHKh2a30DoXe8/edit?usp=sharing"",""กระบี่!M448"")"),0)</f>
        <v>0</v>
      </c>
      <c r="O553" s="175">
        <f t="shared" ca="1" si="120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IFERROR(__xludf.DUMMYFUNCTION("IMPORTRANGE(""https://docs.google.com/spreadsheets/d/1IYY_tgx_IHuhSq3AJ5eI5OnqOPBNLWSHKh2a30DoXe8/edit?usp=sharing"",""กระบี่!L449"")"),0)</f>
        <v>0</v>
      </c>
      <c r="M554" s="175"/>
      <c r="N554" s="175">
        <f ca="1">IFERROR(__xludf.DUMMYFUNCTION("IMPORTRANGE(""https://docs.google.com/spreadsheets/d/1IYY_tgx_IHuhSq3AJ5eI5OnqOPBNLWSHKh2a30DoXe8/edit?usp=sharing"",""กระบี่!M449"")"),0)</f>
        <v>0</v>
      </c>
      <c r="O554" s="175">
        <f t="shared" ca="1" si="120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IFERROR(__xludf.DUMMYFUNCTION("IMPORTRANGE(""https://docs.google.com/spreadsheets/d/1IYY_tgx_IHuhSq3AJ5eI5OnqOPBNLWSHKh2a30DoXe8/edit?usp=sharing"",""กระบี่!L450"")"),0)</f>
        <v>0</v>
      </c>
      <c r="M555" s="175"/>
      <c r="N555" s="175">
        <f ca="1">IFERROR(__xludf.DUMMYFUNCTION("IMPORTRANGE(""https://docs.google.com/spreadsheets/d/1IYY_tgx_IHuhSq3AJ5eI5OnqOPBNLWSHKh2a30DoXe8/edit?usp=sharing"",""กระบี่!M450"")"),0)</f>
        <v>0</v>
      </c>
      <c r="O555" s="175">
        <f t="shared" ca="1" si="120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IFERROR(__xludf.DUMMYFUNCTION("IMPORTRANGE(""https://docs.google.com/spreadsheets/d/1IYY_tgx_IHuhSq3AJ5eI5OnqOPBNLWSHKh2a30DoXe8/edit?usp=sharing"",""กระบี่!M451"")"),0)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IFERROR(__xludf.DUMMYFUNCTION("IMPORTRANGE(""https://docs.google.com/spreadsheets/d/1IYY_tgx_IHuhSq3AJ5eI5OnqOPBNLWSHKh2a30DoXe8/edit?usp=sharing"",""กระบี่!M452"")"),0)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IFERROR(__xludf.DUMMYFUNCTION("IMPORTRANGE(""https://docs.google.com/spreadsheets/d/1IYY_tgx_IHuhSq3AJ5eI5OnqOPBNLWSHKh2a30DoXe8/edit?usp=sharing"",""กระบี่!M453"")"),0)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IFERROR(__xludf.DUMMYFUNCTION("IMPORTRANGE(""https://docs.google.com/spreadsheets/d/1IYY_tgx_IHuhSq3AJ5eI5OnqOPBNLWSHKh2a30DoXe8/edit?usp=sharing"",""กระบี่!M454"")"),0)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IFERROR(__xludf.DUMMYFUNCTION("IMPORTRANGE(""https://docs.google.com/spreadsheets/d/1IYY_tgx_IHuhSq3AJ5eI5OnqOPBNLWSHKh2a30DoXe8/edit?usp=sharing"",""กระบี่!I455"")"),0)</f>
        <v>0</v>
      </c>
      <c r="J560" s="166">
        <f ca="1">IFERROR(__xludf.DUMMYFUNCTION("IMPORTRANGE(""https://docs.google.com/spreadsheets/d/1IYY_tgx_IHuhSq3AJ5eI5OnqOPBNLWSHKh2a30DoXe8/edit?usp=sharing"",""กระบี่!J455"")"),0)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IFERROR(__xludf.DUMMYFUNCTION("IMPORTRANGE(""https://docs.google.com/spreadsheets/d/1IYY_tgx_IHuhSq3AJ5eI5OnqOPBNLWSHKh2a30DoXe8/edit?usp=sharing"",""กระบี่!I456"")"),0)</f>
        <v>0</v>
      </c>
      <c r="J561" s="210">
        <f ca="1">IFERROR(__xludf.DUMMYFUNCTION("IMPORTRANGE(""https://docs.google.com/spreadsheets/d/1IYY_tgx_IHuhSq3AJ5eI5OnqOPBNLWSHKh2a30DoXe8/edit?usp=sharing"",""กระบี่!J456"")"),0)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IFERROR(__xludf.DUMMYFUNCTION("IMPORTRANGE(""https://docs.google.com/spreadsheets/d/1IYY_tgx_IHuhSq3AJ5eI5OnqOPBNLWSHKh2a30DoXe8/edit?usp=sharing"",""กระบี่!I459"")"),1100)</f>
        <v>1100</v>
      </c>
      <c r="J564" s="377">
        <f ca="1">IFERROR(__xludf.DUMMYFUNCTION("IMPORTRANGE(""https://docs.google.com/spreadsheets/d/1IYY_tgx_IHuhSq3AJ5eI5OnqOPBNLWSHKh2a30DoXe8/edit?usp=sharing"",""กระบี่!J459"")"),3147)</f>
        <v>3147</v>
      </c>
      <c r="K564" s="378">
        <f ca="1">IF(I564&gt;0,J564*100/I564,0)</f>
        <v>286.09090909090907</v>
      </c>
      <c r="L564" s="379">
        <f ca="1">IFERROR(__xludf.DUMMYFUNCTION("IMPORTRANGE(""https://docs.google.com/spreadsheets/d/1IYY_tgx_IHuhSq3AJ5eI5OnqOPBNLWSHKh2a30DoXe8/edit?usp=sharing"",""กระบี่!L459"")"),122800)</f>
        <v>122800</v>
      </c>
      <c r="M564" s="379"/>
      <c r="N564" s="379">
        <f ca="1">IFERROR(__xludf.DUMMYFUNCTION("IMPORTRANGE(""https://docs.google.com/spreadsheets/d/1IYY_tgx_IHuhSq3AJ5eI5OnqOPBNLWSHKh2a30DoXe8/edit?usp=sharing"",""กระบี่!M459"")"),33000)</f>
        <v>33000</v>
      </c>
      <c r="O564" s="379">
        <f t="shared" ref="O564:O568" ca="1" si="122">+IF(L564&gt;0,N564*100/L564,0)</f>
        <v>26.872964169381106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IFERROR(__xludf.DUMMYFUNCTION("IMPORTRANGE(""https://docs.google.com/spreadsheets/d/1IYY_tgx_IHuhSq3AJ5eI5OnqOPBNLWSHKh2a30DoXe8/edit?usp=sharing"",""กระบี่!L460"")"),0)</f>
        <v>0</v>
      </c>
      <c r="M565" s="168"/>
      <c r="N565" s="175">
        <f ca="1">IFERROR(__xludf.DUMMYFUNCTION("IMPORTRANGE(""https://docs.google.com/spreadsheets/d/1IYY_tgx_IHuhSq3AJ5eI5OnqOPBNLWSHKh2a30DoXe8/edit?usp=sharing"",""กระบี่!M460"")"),0)</f>
        <v>0</v>
      </c>
      <c r="O565" s="175">
        <f t="shared" ca="1" si="122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IFERROR(__xludf.DUMMYFUNCTION("IMPORTRANGE(""https://docs.google.com/spreadsheets/d/1IYY_tgx_IHuhSq3AJ5eI5OnqOPBNLWSHKh2a30DoXe8/edit?usp=sharing"",""กระบี่!L461"")"),122800)</f>
        <v>122800</v>
      </c>
      <c r="M566" s="169"/>
      <c r="N566" s="175">
        <f ca="1">IFERROR(__xludf.DUMMYFUNCTION("IMPORTRANGE(""https://docs.google.com/spreadsheets/d/1IYY_tgx_IHuhSq3AJ5eI5OnqOPBNLWSHKh2a30DoXe8/edit?usp=sharing"",""กระบี่!M461"")"),33000)</f>
        <v>33000</v>
      </c>
      <c r="O566" s="175">
        <f t="shared" ca="1" si="122"/>
        <v>26.872964169381106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IFERROR(__xludf.DUMMYFUNCTION("IMPORTRANGE(""https://docs.google.com/spreadsheets/d/1IYY_tgx_IHuhSq3AJ5eI5OnqOPBNLWSHKh2a30DoXe8/edit?usp=sharing"",""กระบี่!L462"")"),0)</f>
        <v>0</v>
      </c>
      <c r="M567" s="175"/>
      <c r="N567" s="175">
        <f ca="1">IFERROR(__xludf.DUMMYFUNCTION("IMPORTRANGE(""https://docs.google.com/spreadsheets/d/1IYY_tgx_IHuhSq3AJ5eI5OnqOPBNLWSHKh2a30DoXe8/edit?usp=sharing"",""กระบี่!M462"")"),0)</f>
        <v>0</v>
      </c>
      <c r="O567" s="175">
        <f t="shared" ca="1" si="122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IFERROR(__xludf.DUMMYFUNCTION("IMPORTRANGE(""https://docs.google.com/spreadsheets/d/1IYY_tgx_IHuhSq3AJ5eI5OnqOPBNLWSHKh2a30DoXe8/edit?usp=sharing"",""กระบี่!L463"")"),122800)</f>
        <v>122800</v>
      </c>
      <c r="M568" s="175"/>
      <c r="N568" s="175">
        <f ca="1">IFERROR(__xludf.DUMMYFUNCTION("IMPORTRANGE(""https://docs.google.com/spreadsheets/d/1IYY_tgx_IHuhSq3AJ5eI5OnqOPBNLWSHKh2a30DoXe8/edit?usp=sharing"",""กระบี่!M463"")"),33000)</f>
        <v>33000</v>
      </c>
      <c r="O568" s="175">
        <f t="shared" ca="1" si="122"/>
        <v>26.872964169381106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IFERROR(__xludf.DUMMYFUNCTION("IMPORTRANGE(""https://docs.google.com/spreadsheets/d/1IYY_tgx_IHuhSq3AJ5eI5OnqOPBNLWSHKh2a30DoXe8/edit?usp=sharing"",""กระบี่!M464"")"),0)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IFERROR(__xludf.DUMMYFUNCTION("IMPORTRANGE(""https://docs.google.com/spreadsheets/d/1IYY_tgx_IHuhSq3AJ5eI5OnqOPBNLWSHKh2a30DoXe8/edit?usp=sharing"",""กระบี่!M465"")"),0)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IFERROR(__xludf.DUMMYFUNCTION("IMPORTRANGE(""https://docs.google.com/spreadsheets/d/1IYY_tgx_IHuhSq3AJ5eI5OnqOPBNLWSHKh2a30DoXe8/edit?usp=sharing"",""กระบี่!M466"")"),33000)</f>
        <v>33000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IFERROR(__xludf.DUMMYFUNCTION("IMPORTRANGE(""https://docs.google.com/spreadsheets/d/1IYY_tgx_IHuhSq3AJ5eI5OnqOPBNLWSHKh2a30DoXe8/edit?usp=sharing"",""กระบี่!M467"")"),0)</f>
        <v>0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IFERROR(__xludf.DUMMYFUNCTION("IMPORTRANGE(""https://docs.google.com/spreadsheets/d/1IYY_tgx_IHuhSq3AJ5eI5OnqOPBNLWSHKh2a30DoXe8/edit?usp=sharing"",""กระบี่!I468"")"),1100)</f>
        <v>1100</v>
      </c>
      <c r="J573" s="426">
        <f ca="1">IFERROR(__xludf.DUMMYFUNCTION("IMPORTRANGE(""https://docs.google.com/spreadsheets/d/1IYY_tgx_IHuhSq3AJ5eI5OnqOPBNLWSHKh2a30DoXe8/edit?usp=sharing"",""กระบี่!J468"")"),3147)</f>
        <v>3147</v>
      </c>
      <c r="K573" s="208">
        <f ca="1">IF(I573&gt;0,J573*100/I573,0)</f>
        <v>286.09090909090907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IFERROR(__xludf.DUMMYFUNCTION("IMPORTRANGE(""https://docs.google.com/spreadsheets/d/1IYY_tgx_IHuhSq3AJ5eI5OnqOPBNLWSHKh2a30DoXe8/edit?usp=sharing"",""กระบี่!I470"")"),0)</f>
        <v>0</v>
      </c>
      <c r="J575" s="204">
        <f ca="1">IFERROR(__xludf.DUMMYFUNCTION("IMPORTRANGE(""https://docs.google.com/spreadsheets/d/1IYY_tgx_IHuhSq3AJ5eI5OnqOPBNLWSHKh2a30DoXe8/edit?usp=sharing"",""กระบี่!J470"")"),5)</f>
        <v>5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IFERROR(__xludf.DUMMYFUNCTION("IMPORTRANGE(""https://docs.google.com/spreadsheets/d/1IYY_tgx_IHuhSq3AJ5eI5OnqOPBNLWSHKh2a30DoXe8/edit?usp=sharing"",""กระบี่!I471"")"),0)</f>
        <v>0</v>
      </c>
      <c r="J576" s="204">
        <f ca="1">IFERROR(__xludf.DUMMYFUNCTION("IMPORTRANGE(""https://docs.google.com/spreadsheets/d/1IYY_tgx_IHuhSq3AJ5eI5OnqOPBNLWSHKh2a30DoXe8/edit?usp=sharing"",""กระบี่!J471"")"),108)</f>
        <v>108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IFERROR(__xludf.DUMMYFUNCTION("IMPORTRANGE(""https://docs.google.com/spreadsheets/d/1IYY_tgx_IHuhSq3AJ5eI5OnqOPBNLWSHKh2a30DoXe8/edit?usp=sharing"",""กระบี่!I472"")"),0)</f>
        <v>0</v>
      </c>
      <c r="J577" s="195">
        <f ca="1">IFERROR(__xludf.DUMMYFUNCTION("IMPORTRANGE(""https://docs.google.com/spreadsheets/d/1IYY_tgx_IHuhSq3AJ5eI5OnqOPBNLWSHKh2a30DoXe8/edit?usp=sharing"",""กระบี่!J472"")"),3039)</f>
        <v>3039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IFERROR(__xludf.DUMMYFUNCTION("IMPORTRANGE(""https://docs.google.com/spreadsheets/d/1IYY_tgx_IHuhSq3AJ5eI5OnqOPBNLWSHKh2a30DoXe8/edit?usp=sharing"",""กระบี่!I473"")"),0)</f>
        <v>0</v>
      </c>
      <c r="J578" s="204">
        <f ca="1">IFERROR(__xludf.DUMMYFUNCTION("IMPORTRANGE(""https://docs.google.com/spreadsheets/d/1IYY_tgx_IHuhSq3AJ5eI5OnqOPBNLWSHKh2a30DoXe8/edit?usp=sharing"",""กระบี่!J473"")"),0)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IFERROR(__xludf.DUMMYFUNCTION("IMPORTRANGE(""https://docs.google.com/spreadsheets/d/1IYY_tgx_IHuhSq3AJ5eI5OnqOPBNLWSHKh2a30DoXe8/edit?usp=sharing"",""กระบี่!I474"")"),0)</f>
        <v>0</v>
      </c>
      <c r="J579" s="204">
        <f ca="1">IFERROR(__xludf.DUMMYFUNCTION("IMPORTRANGE(""https://docs.google.com/spreadsheets/d/1IYY_tgx_IHuhSq3AJ5eI5OnqOPBNLWSHKh2a30DoXe8/edit?usp=sharing"",""กระบี่!J474"")"),0)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IFERROR(__xludf.DUMMYFUNCTION("IMPORTRANGE(""https://docs.google.com/spreadsheets/d/1IYY_tgx_IHuhSq3AJ5eI5OnqOPBNLWSHKh2a30DoXe8/edit?usp=sharing"",""กระบี่!I475"")"),0)</f>
        <v>0</v>
      </c>
      <c r="J580" s="377">
        <f ca="1">IFERROR(__xludf.DUMMYFUNCTION("IMPORTRANGE(""https://docs.google.com/spreadsheets/d/1IYY_tgx_IHuhSq3AJ5eI5OnqOPBNLWSHKh2a30DoXe8/edit?usp=sharing"",""กระบี่!J475"")"),0)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IFERROR(__xludf.DUMMYFUNCTION("IMPORTRANGE(""https://docs.google.com/spreadsheets/d/1IYY_tgx_IHuhSq3AJ5eI5OnqOPBNLWSHKh2a30DoXe8/edit?usp=sharing"",""กระบี่!L475"")"),49000)</f>
        <v>49000</v>
      </c>
      <c r="M580" s="379"/>
      <c r="N580" s="379">
        <f ca="1">IFERROR(__xludf.DUMMYFUNCTION("IMPORTRANGE(""https://docs.google.com/spreadsheets/d/1IYY_tgx_IHuhSq3AJ5eI5OnqOPBNLWSHKh2a30DoXe8/edit?usp=sharing"",""กระบี่!M475"")"),0)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IFERROR(__xludf.DUMMYFUNCTION("IMPORTRANGE(""https://docs.google.com/spreadsheets/d/1IYY_tgx_IHuhSq3AJ5eI5OnqOPBNLWSHKh2a30DoXe8/edit?usp=sharing"",""กระบี่!L476"")"),0)</f>
        <v>0</v>
      </c>
      <c r="M581" s="168"/>
      <c r="N581" s="175">
        <f ca="1">IFERROR(__xludf.DUMMYFUNCTION("IMPORTRANGE(""https://docs.google.com/spreadsheets/d/1IYY_tgx_IHuhSq3AJ5eI5OnqOPBNLWSHKh2a30DoXe8/edit?usp=sharing"",""กระบี่!M476"")"),0)</f>
        <v>0</v>
      </c>
      <c r="O581" s="175">
        <f t="shared" ca="1" si="124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IFERROR(__xludf.DUMMYFUNCTION("IMPORTRANGE(""https://docs.google.com/spreadsheets/d/1IYY_tgx_IHuhSq3AJ5eI5OnqOPBNLWSHKh2a30DoXe8/edit?usp=sharing"",""กระบี่!L477"")"),49000)</f>
        <v>49000</v>
      </c>
      <c r="M582" s="169"/>
      <c r="N582" s="175">
        <f ca="1">IFERROR(__xludf.DUMMYFUNCTION("IMPORTRANGE(""https://docs.google.com/spreadsheets/d/1IYY_tgx_IHuhSq3AJ5eI5OnqOPBNLWSHKh2a30DoXe8/edit?usp=sharing"",""กระบี่!M477"")"),0)</f>
        <v>0</v>
      </c>
      <c r="O582" s="175">
        <f t="shared" ca="1" si="124"/>
        <v>0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IFERROR(__xludf.DUMMYFUNCTION("IMPORTRANGE(""https://docs.google.com/spreadsheets/d/1IYY_tgx_IHuhSq3AJ5eI5OnqOPBNLWSHKh2a30DoXe8/edit?usp=sharing"",""กระบี่!L478"")"),0)</f>
        <v>0</v>
      </c>
      <c r="M583" s="175"/>
      <c r="N583" s="175">
        <f ca="1">IFERROR(__xludf.DUMMYFUNCTION("IMPORTRANGE(""https://docs.google.com/spreadsheets/d/1IYY_tgx_IHuhSq3AJ5eI5OnqOPBNLWSHKh2a30DoXe8/edit?usp=sharing"",""กระบี่!M478"")"),0)</f>
        <v>0</v>
      </c>
      <c r="O583" s="175">
        <f t="shared" ca="1" si="124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IFERROR(__xludf.DUMMYFUNCTION("IMPORTRANGE(""https://docs.google.com/spreadsheets/d/1IYY_tgx_IHuhSq3AJ5eI5OnqOPBNLWSHKh2a30DoXe8/edit?usp=sharing"",""กระบี่!L479"")"),49000)</f>
        <v>49000</v>
      </c>
      <c r="M584" s="175"/>
      <c r="N584" s="175">
        <f ca="1">IFERROR(__xludf.DUMMYFUNCTION("IMPORTRANGE(""https://docs.google.com/spreadsheets/d/1IYY_tgx_IHuhSq3AJ5eI5OnqOPBNLWSHKh2a30DoXe8/edit?usp=sharing"",""กระบี่!M479"")"),0)</f>
        <v>0</v>
      </c>
      <c r="O584" s="175">
        <f t="shared" ca="1" si="124"/>
        <v>0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IFERROR(__xludf.DUMMYFUNCTION("IMPORTRANGE(""https://docs.google.com/spreadsheets/d/1IYY_tgx_IHuhSq3AJ5eI5OnqOPBNLWSHKh2a30DoXe8/edit?usp=sharing"",""กระบี่!M480"")"),0)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IFERROR(__xludf.DUMMYFUNCTION("IMPORTRANGE(""https://docs.google.com/spreadsheets/d/1IYY_tgx_IHuhSq3AJ5eI5OnqOPBNLWSHKh2a30DoXe8/edit?usp=sharing"",""กระบี่!M481"")"),0)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IFERROR(__xludf.DUMMYFUNCTION("IMPORTRANGE(""https://docs.google.com/spreadsheets/d/1IYY_tgx_IHuhSq3AJ5eI5OnqOPBNLWSHKh2a30DoXe8/edit?usp=sharing"",""กระบี่!M482"")"),0)</f>
        <v>0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IFERROR(__xludf.DUMMYFUNCTION("IMPORTRANGE(""https://docs.google.com/spreadsheets/d/1IYY_tgx_IHuhSq3AJ5eI5OnqOPBNLWSHKh2a30DoXe8/edit?usp=sharing"",""กระบี่!M483"")"),0)</f>
        <v>0</v>
      </c>
      <c r="O588" s="175"/>
      <c r="P588" s="175"/>
    </row>
    <row r="589" spans="1:16" ht="21.75" customHeight="1" x14ac:dyDescent="0.2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IFERROR(__xludf.DUMMYFUNCTION("IMPORTRANGE(""https://docs.google.com/spreadsheets/d/1IYY_tgx_IHuhSq3AJ5eI5OnqOPBNLWSHKh2a30DoXe8/edit?usp=sharing"",""กระบี่!I484"")"),0)</f>
        <v>0</v>
      </c>
      <c r="J589" s="194">
        <f ca="1">IFERROR(__xludf.DUMMYFUNCTION("IMPORTRANGE(""https://docs.google.com/spreadsheets/d/1IYY_tgx_IHuhSq3AJ5eI5OnqOPBNLWSHKh2a30DoXe8/edit?usp=sharing"",""กระบี่!J484"")"),0)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2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IFERROR(__xludf.DUMMYFUNCTION("IMPORTRANGE(""https://docs.google.com/spreadsheets/d/1IYY_tgx_IHuhSq3AJ5eI5OnqOPBNLWSHKh2a30DoXe8/edit?usp=sharing"",""กระบี่!I485"")"),0)</f>
        <v>0</v>
      </c>
      <c r="J590" s="194">
        <f ca="1">IFERROR(__xludf.DUMMYFUNCTION("IMPORTRANGE(""https://docs.google.com/spreadsheets/d/1IYY_tgx_IHuhSq3AJ5eI5OnqOPBNLWSHKh2a30DoXe8/edit?usp=sharing"",""กระบี่!J485"")"),0)</f>
        <v>0</v>
      </c>
      <c r="K590" s="486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IFERROR(__xludf.DUMMYFUNCTION("IMPORTRANGE(""https://docs.google.com/spreadsheets/d/1IYY_tgx_IHuhSq3AJ5eI5OnqOPBNLWSHKh2a30DoXe8/edit?usp=sharing"",""กระบี่!I486"")"),0)</f>
        <v>0</v>
      </c>
      <c r="J591" s="194">
        <f ca="1">IFERROR(__xludf.DUMMYFUNCTION("IMPORTRANGE(""https://docs.google.com/spreadsheets/d/1IYY_tgx_IHuhSq3AJ5eI5OnqOPBNLWSHKh2a30DoXe8/edit?usp=sharing"",""กระบี่!J486"")"),0)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2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IFERROR(__xludf.DUMMYFUNCTION("IMPORTRANGE(""https://docs.google.com/spreadsheets/d/1IYY_tgx_IHuhSq3AJ5eI5OnqOPBNLWSHKh2a30DoXe8/edit?usp=sharing"",""กระบี่!I487"")"),0)</f>
        <v>0</v>
      </c>
      <c r="J592" s="194">
        <f ca="1">IFERROR(__xludf.DUMMYFUNCTION("IMPORTRANGE(""https://docs.google.com/spreadsheets/d/1IYY_tgx_IHuhSq3AJ5eI5OnqOPBNLWSHKh2a30DoXe8/edit?usp=sharing"",""กระบี่!J487"")"),0)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IFERROR(__xludf.DUMMYFUNCTION("IMPORTRANGE(""https://docs.google.com/spreadsheets/d/1IYY_tgx_IHuhSq3AJ5eI5OnqOPBNLWSHKh2a30DoXe8/edit?usp=sharing"",""กระบี่!I488"")"),0)</f>
        <v>0</v>
      </c>
      <c r="J593" s="194">
        <f ca="1">IFERROR(__xludf.DUMMYFUNCTION("IMPORTRANGE(""https://docs.google.com/spreadsheets/d/1IYY_tgx_IHuhSq3AJ5eI5OnqOPBNLWSHKh2a30DoXe8/edit?usp=sharing"",""กระบี่!J488"")"),0)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2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IFERROR(__xludf.DUMMYFUNCTION("IMPORTRANGE(""https://docs.google.com/spreadsheets/d/1IYY_tgx_IHuhSq3AJ5eI5OnqOPBNLWSHKh2a30DoXe8/edit?usp=sharing"",""กระบี่!I489"")"),0)</f>
        <v>0</v>
      </c>
      <c r="J594" s="194">
        <f ca="1">IFERROR(__xludf.DUMMYFUNCTION("IMPORTRANGE(""https://docs.google.com/spreadsheets/d/1IYY_tgx_IHuhSq3AJ5eI5OnqOPBNLWSHKh2a30DoXe8/edit?usp=sharing"",""กระบี่!J489"")"),0)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IFERROR(__xludf.DUMMYFUNCTION("IMPORTRANGE(""https://docs.google.com/spreadsheets/d/1IYY_tgx_IHuhSq3AJ5eI5OnqOPBNLWSHKh2a30DoXe8/edit?usp=sharing"",""กระบี่!I490"")"),0)</f>
        <v>0</v>
      </c>
      <c r="J595" s="194">
        <f ca="1">IFERROR(__xludf.DUMMYFUNCTION("IMPORTRANGE(""https://docs.google.com/spreadsheets/d/1IYY_tgx_IHuhSq3AJ5eI5OnqOPBNLWSHKh2a30DoXe8/edit?usp=sharing"",""กระบี่!J490"")"),0)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2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IFERROR(__xludf.DUMMYFUNCTION("IMPORTRANGE(""https://docs.google.com/spreadsheets/d/1IYY_tgx_IHuhSq3AJ5eI5OnqOPBNLWSHKh2a30DoXe8/edit?usp=sharing"",""กระบี่!I491"")"),0)</f>
        <v>0</v>
      </c>
      <c r="J596" s="247">
        <f ca="1">IFERROR(__xludf.DUMMYFUNCTION("IMPORTRANGE(""https://docs.google.com/spreadsheets/d/1IYY_tgx_IHuhSq3AJ5eI5OnqOPBNLWSHKh2a30DoXe8/edit?usp=sharing"",""กระบี่!J491"")"),0)</f>
        <v>0</v>
      </c>
      <c r="K596" s="493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IFERROR(__xludf.DUMMYFUNCTION("IMPORTRANGE(""https://docs.google.com/spreadsheets/d/1IYY_tgx_IHuhSq3AJ5eI5OnqOPBNLWSHKh2a30DoXe8/edit?usp=sharing"",""กระบี่!I492"")"),428)</f>
        <v>428</v>
      </c>
      <c r="J597" s="494">
        <f ca="1">IFERROR(__xludf.DUMMYFUNCTION("IMPORTRANGE(""https://docs.google.com/spreadsheets/d/1IYY_tgx_IHuhSq3AJ5eI5OnqOPBNLWSHKh2a30DoXe8/edit?usp=sharing"",""กระบี่!J492"")"),0)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IFERROR(__xludf.DUMMYFUNCTION("IMPORTRANGE(""https://docs.google.com/spreadsheets/d/1IYY_tgx_IHuhSq3AJ5eI5OnqOPBNLWSHKh2a30DoXe8/edit?usp=sharing"",""กระบี่!L492"")"),2600)</f>
        <v>2600</v>
      </c>
      <c r="M597" s="418"/>
      <c r="N597" s="418">
        <f ca="1">IFERROR(__xludf.DUMMYFUNCTION("IMPORTRANGE(""https://docs.google.com/spreadsheets/d/1IYY_tgx_IHuhSq3AJ5eI5OnqOPBNLWSHKh2a30DoXe8/edit?usp=sharing"",""กระบี่!M492"")"),2600)</f>
        <v>2600</v>
      </c>
      <c r="O597" s="418">
        <f t="shared" ref="O597:O601" ca="1" si="126">+IF(L597&gt;0,N597*100/L597,0)</f>
        <v>100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IFERROR(__xludf.DUMMYFUNCTION("IMPORTRANGE(""https://docs.google.com/spreadsheets/d/1IYY_tgx_IHuhSq3AJ5eI5OnqOPBNLWSHKh2a30DoXe8/edit?usp=sharing"",""กระบี่!L493"")"),0)</f>
        <v>0</v>
      </c>
      <c r="M598" s="168"/>
      <c r="N598" s="175">
        <f ca="1">IFERROR(__xludf.DUMMYFUNCTION("IMPORTRANGE(""https://docs.google.com/spreadsheets/d/1IYY_tgx_IHuhSq3AJ5eI5OnqOPBNLWSHKh2a30DoXe8/edit?usp=sharing"",""กระบี่!M493"")"),0)</f>
        <v>0</v>
      </c>
      <c r="O598" s="175">
        <f t="shared" ca="1" si="126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IFERROR(__xludf.DUMMYFUNCTION("IMPORTRANGE(""https://docs.google.com/spreadsheets/d/1IYY_tgx_IHuhSq3AJ5eI5OnqOPBNLWSHKh2a30DoXe8/edit?usp=sharing"",""กระบี่!L494"")"),2600)</f>
        <v>2600</v>
      </c>
      <c r="M599" s="169"/>
      <c r="N599" s="175">
        <f ca="1">IFERROR(__xludf.DUMMYFUNCTION("IMPORTRANGE(""https://docs.google.com/spreadsheets/d/1IYY_tgx_IHuhSq3AJ5eI5OnqOPBNLWSHKh2a30DoXe8/edit?usp=sharing"",""กระบี่!M494"")"),2600)</f>
        <v>2600</v>
      </c>
      <c r="O599" s="175">
        <f t="shared" ca="1" si="126"/>
        <v>100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IFERROR(__xludf.DUMMYFUNCTION("IMPORTRANGE(""https://docs.google.com/spreadsheets/d/1IYY_tgx_IHuhSq3AJ5eI5OnqOPBNLWSHKh2a30DoXe8/edit?usp=sharing"",""กระบี่!L495"")"),0)</f>
        <v>0</v>
      </c>
      <c r="M600" s="175"/>
      <c r="N600" s="175">
        <f ca="1">IFERROR(__xludf.DUMMYFUNCTION("IMPORTRANGE(""https://docs.google.com/spreadsheets/d/1IYY_tgx_IHuhSq3AJ5eI5OnqOPBNLWSHKh2a30DoXe8/edit?usp=sharing"",""กระบี่!M495"")"),0)</f>
        <v>0</v>
      </c>
      <c r="O600" s="175">
        <f t="shared" ca="1" si="126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IFERROR(__xludf.DUMMYFUNCTION("IMPORTRANGE(""https://docs.google.com/spreadsheets/d/1IYY_tgx_IHuhSq3AJ5eI5OnqOPBNLWSHKh2a30DoXe8/edit?usp=sharing"",""กระบี่!L496"")"),2600)</f>
        <v>2600</v>
      </c>
      <c r="M601" s="175"/>
      <c r="N601" s="175">
        <f ca="1">IFERROR(__xludf.DUMMYFUNCTION("IMPORTRANGE(""https://docs.google.com/spreadsheets/d/1IYY_tgx_IHuhSq3AJ5eI5OnqOPBNLWSHKh2a30DoXe8/edit?usp=sharing"",""กระบี่!M496"")"),2600)</f>
        <v>2600</v>
      </c>
      <c r="O601" s="175">
        <f t="shared" ca="1" si="126"/>
        <v>100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IFERROR(__xludf.DUMMYFUNCTION("IMPORTRANGE(""https://docs.google.com/spreadsheets/d/1IYY_tgx_IHuhSq3AJ5eI5OnqOPBNLWSHKh2a30DoXe8/edit?usp=sharing"",""กระบี่!M497"")"),0)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IFERROR(__xludf.DUMMYFUNCTION("IMPORTRANGE(""https://docs.google.com/spreadsheets/d/1IYY_tgx_IHuhSq3AJ5eI5OnqOPBNLWSHKh2a30DoXe8/edit?usp=sharing"",""กระบี่!M498"")"),0)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IFERROR(__xludf.DUMMYFUNCTION("IMPORTRANGE(""https://docs.google.com/spreadsheets/d/1IYY_tgx_IHuhSq3AJ5eI5OnqOPBNLWSHKh2a30DoXe8/edit?usp=sharing"",""กระบี่!M499"")"),0)</f>
        <v>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IFERROR(__xludf.DUMMYFUNCTION("IMPORTRANGE(""https://docs.google.com/spreadsheets/d/1IYY_tgx_IHuhSq3AJ5eI5OnqOPBNLWSHKh2a30DoXe8/edit?usp=sharing"",""กระบี่!M500"")"),2600)</f>
        <v>2600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IFERROR(__xludf.DUMMYFUNCTION("IMPORTRANGE(""https://docs.google.com/spreadsheets/d/1IYY_tgx_IHuhSq3AJ5eI5OnqOPBNLWSHKh2a30DoXe8/edit?usp=sharing"",""กระบี่!J502"")"),0)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IFERROR(__xludf.DUMMYFUNCTION("IMPORTRANGE(""https://docs.google.com/spreadsheets/d/1IYY_tgx_IHuhSq3AJ5eI5OnqOPBNLWSHKh2a30DoXe8/edit?usp=sharing"",""กระบี่!J503"")"),1)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IFERROR(__xludf.DUMMYFUNCTION("IMPORTRANGE(""https://docs.google.com/spreadsheets/d/1IYY_tgx_IHuhSq3AJ5eI5OnqOPBNLWSHKh2a30DoXe8/edit?usp=sharing"",""กระบี่!J166"")"),0)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2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IFERROR(__xludf.DUMMYFUNCTION("IMPORTRANGE(""https://docs.google.com/spreadsheets/d/1IYY_tgx_IHuhSq3AJ5eI5OnqOPBNLWSHKh2a30DoXe8/edit?usp=sharing"",""กระบี่!J166"")"),0)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IFERROR(__xludf.DUMMYFUNCTION("IMPORTRANGE(""https://docs.google.com/spreadsheets/d/1IYY_tgx_IHuhSq3AJ5eI5OnqOPBNLWSHKh2a30DoXe8/edit?usp=sharing"",""กระบี่!I506"")"),428)</f>
        <v>428</v>
      </c>
      <c r="J611" s="166">
        <f ca="1">IFERROR(__xludf.DUMMYFUNCTION("IMPORTRANGE(""https://docs.google.com/spreadsheets/d/1IYY_tgx_IHuhSq3AJ5eI5OnqOPBNLWSHKh2a30DoXe8/edit?usp=sharing"",""กระบี่!J506"")"),0)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IFERROR(__xludf.DUMMYFUNCTION("IMPORTRANGE(""https://docs.google.com/spreadsheets/d/1IYY_tgx_IHuhSq3AJ5eI5OnqOPBNLWSHKh2a30DoXe8/edit?usp=sharing"",""กระบี่!I507"")"),0)</f>
        <v>0</v>
      </c>
      <c r="J612" s="204">
        <f ca="1">IFERROR(__xludf.DUMMYFUNCTION("IMPORTRANGE(""https://docs.google.com/spreadsheets/d/1IYY_tgx_IHuhSq3AJ5eI5OnqOPBNLWSHKh2a30DoXe8/edit?usp=sharing"",""กระบี่!J507"")"),0)</f>
        <v>0</v>
      </c>
      <c r="K612" s="167">
        <f t="shared" ca="1" si="127"/>
        <v>0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IFERROR(__xludf.DUMMYFUNCTION("IMPORTRANGE(""https://docs.google.com/spreadsheets/d/1IYY_tgx_IHuhSq3AJ5eI5OnqOPBNLWSHKh2a30DoXe8/edit?usp=sharing"",""กระบี่!I508"")"),0)</f>
        <v>0</v>
      </c>
      <c r="J613" s="204">
        <f ca="1">IFERROR(__xludf.DUMMYFUNCTION("IMPORTRANGE(""https://docs.google.com/spreadsheets/d/1IYY_tgx_IHuhSq3AJ5eI5OnqOPBNLWSHKh2a30DoXe8/edit?usp=sharing"",""กระบี่!J508"")"),0)</f>
        <v>0</v>
      </c>
      <c r="K613" s="167">
        <f t="shared" ca="1" si="127"/>
        <v>0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IFERROR(__xludf.DUMMYFUNCTION("IMPORTRANGE(""https://docs.google.com/spreadsheets/d/1IYY_tgx_IHuhSq3AJ5eI5OnqOPBNLWSHKh2a30DoXe8/edit?usp=sharing"",""กระบี่!I509"")"),0)</f>
        <v>0</v>
      </c>
      <c r="J614" s="204">
        <f ca="1">IFERROR(__xludf.DUMMYFUNCTION("IMPORTRANGE(""https://docs.google.com/spreadsheets/d/1IYY_tgx_IHuhSq3AJ5eI5OnqOPBNLWSHKh2a30DoXe8/edit?usp=sharing"",""กระบี่!J509"")"),0)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IFERROR(__xludf.DUMMYFUNCTION("IMPORTRANGE(""https://docs.google.com/spreadsheets/d/1IYY_tgx_IHuhSq3AJ5eI5OnqOPBNLWSHKh2a30DoXe8/edit?usp=sharing"",""กระบี่!I510"")"),0)</f>
        <v>0</v>
      </c>
      <c r="J615" s="204">
        <f ca="1">IFERROR(__xludf.DUMMYFUNCTION("IMPORTRANGE(""https://docs.google.com/spreadsheets/d/1IYY_tgx_IHuhSq3AJ5eI5OnqOPBNLWSHKh2a30DoXe8/edit?usp=sharing"",""กระบี่!J510"")"),0)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IFERROR(__xludf.DUMMYFUNCTION("IMPORTRANGE(""https://docs.google.com/spreadsheets/d/1IYY_tgx_IHuhSq3AJ5eI5OnqOPBNLWSHKh2a30DoXe8/edit?usp=sharing"",""กระบี่!I511"")"),0)</f>
        <v>0</v>
      </c>
      <c r="J616" s="204">
        <f ca="1">IFERROR(__xludf.DUMMYFUNCTION("IMPORTRANGE(""https://docs.google.com/spreadsheets/d/1IYY_tgx_IHuhSq3AJ5eI5OnqOPBNLWSHKh2a30DoXe8/edit?usp=sharing"",""กระบี่!J511"")"),0)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IFERROR(__xludf.DUMMYFUNCTION("IMPORTRANGE(""https://docs.google.com/spreadsheets/d/1IYY_tgx_IHuhSq3AJ5eI5OnqOPBNLWSHKh2a30DoXe8/edit?usp=sharing"",""กระบี่!I512"")"),0)</f>
        <v>0</v>
      </c>
      <c r="J617" s="194">
        <f ca="1">IFERROR(__xludf.DUMMYFUNCTION("IMPORTRANGE(""https://docs.google.com/spreadsheets/d/1IYY_tgx_IHuhSq3AJ5eI5OnqOPBNLWSHKh2a30DoXe8/edit?usp=sharing"",""กระบี่!J512"")"),0)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IFERROR(__xludf.DUMMYFUNCTION("IMPORTRANGE(""https://docs.google.com/spreadsheets/d/1IYY_tgx_IHuhSq3AJ5eI5OnqOPBNLWSHKh2a30DoXe8/edit?usp=sharing"",""กระบี่!I513"")"),0)</f>
        <v>0</v>
      </c>
      <c r="J618" s="195">
        <f ca="1">IFERROR(__xludf.DUMMYFUNCTION("IMPORTRANGE(""https://docs.google.com/spreadsheets/d/1IYY_tgx_IHuhSq3AJ5eI5OnqOPBNLWSHKh2a30DoXe8/edit?usp=sharing"",""กระบี่!J513"")"),0)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IFERROR(__xludf.DUMMYFUNCTION("IMPORTRANGE(""https://docs.google.com/spreadsheets/d/1IYY_tgx_IHuhSq3AJ5eI5OnqOPBNLWSHKh2a30DoXe8/edit?usp=sharing"",""กระบี่!I514"")"),0)</f>
        <v>0</v>
      </c>
      <c r="J619" s="195">
        <f ca="1">IFERROR(__xludf.DUMMYFUNCTION("IMPORTRANGE(""https://docs.google.com/spreadsheets/d/1IYY_tgx_IHuhSq3AJ5eI5OnqOPBNLWSHKh2a30DoXe8/edit?usp=sharing"",""กระบี่!J514"")"),0)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IFERROR(__xludf.DUMMYFUNCTION("IMPORTRANGE(""https://docs.google.com/spreadsheets/d/1IYY_tgx_IHuhSq3AJ5eI5OnqOPBNLWSHKh2a30DoXe8/edit?usp=sharing"",""กระบี่!I515"")"),0)</f>
        <v>0</v>
      </c>
      <c r="J620" s="209">
        <f ca="1">IFERROR(__xludf.DUMMYFUNCTION("IMPORTRANGE(""https://docs.google.com/spreadsheets/d/1IYY_tgx_IHuhSq3AJ5eI5OnqOPBNLWSHKh2a30DoXe8/edit?usp=sharing"",""กระบี่!J515"")"),0)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IFERROR(__xludf.DUMMYFUNCTION("IMPORTRANGE(""https://docs.google.com/spreadsheets/d/1IYY_tgx_IHuhSq3AJ5eI5OnqOPBNLWSHKh2a30DoXe8/edit?usp=sharing"",""กระบี่!I516"")"),0)</f>
        <v>0</v>
      </c>
      <c r="J621" s="209">
        <f ca="1">IFERROR(__xludf.DUMMYFUNCTION("IMPORTRANGE(""https://docs.google.com/spreadsheets/d/1IYY_tgx_IHuhSq3AJ5eI5OnqOPBNLWSHKh2a30DoXe8/edit?usp=sharing"",""กระบี่!J516"")"),0)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IFERROR(__xludf.DUMMYFUNCTION("IMPORTRANGE(""https://docs.google.com/spreadsheets/d/1IYY_tgx_IHuhSq3AJ5eI5OnqOPBNLWSHKh2a30DoXe8/edit?usp=sharing"",""กระบี่!I517"")"),0)</f>
        <v>0</v>
      </c>
      <c r="J622" s="195">
        <f ca="1">IFERROR(__xludf.DUMMYFUNCTION("IMPORTRANGE(""https://docs.google.com/spreadsheets/d/1IYY_tgx_IHuhSq3AJ5eI5OnqOPBNLWSHKh2a30DoXe8/edit?usp=sharing"",""กระบี่!J517"")"),0)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IFERROR(__xludf.DUMMYFUNCTION("IMPORTRANGE(""https://docs.google.com/spreadsheets/d/1IYY_tgx_IHuhSq3AJ5eI5OnqOPBNLWSHKh2a30DoXe8/edit?usp=sharing"",""กระบี่!I518"")"),0)</f>
        <v>0</v>
      </c>
      <c r="J623" s="195">
        <f ca="1">IFERROR(__xludf.DUMMYFUNCTION("IMPORTRANGE(""https://docs.google.com/spreadsheets/d/1IYY_tgx_IHuhSq3AJ5eI5OnqOPBNLWSHKh2a30DoXe8/edit?usp=sharing"",""กระบี่!J518"")"),0)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IFERROR(__xludf.DUMMYFUNCTION("IMPORTRANGE(""https://docs.google.com/spreadsheets/d/1IYY_tgx_IHuhSq3AJ5eI5OnqOPBNLWSHKh2a30DoXe8/edit?usp=sharing"",""กระบี่!I519"")"),0)</f>
        <v>0</v>
      </c>
      <c r="J624" s="194">
        <f ca="1">IFERROR(__xludf.DUMMYFUNCTION("IMPORTRANGE(""https://docs.google.com/spreadsheets/d/1IYY_tgx_IHuhSq3AJ5eI5OnqOPBNLWSHKh2a30DoXe8/edit?usp=sharing"",""กระบี่!J519"")"),0)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IFERROR(__xludf.DUMMYFUNCTION("IMPORTRANGE(""https://docs.google.com/spreadsheets/d/1IYY_tgx_IHuhSq3AJ5eI5OnqOPBNLWSHKh2a30DoXe8/edit?usp=sharing"",""กระบี่!I520"")"),0)</f>
        <v>0</v>
      </c>
      <c r="J625" s="195">
        <f ca="1">IFERROR(__xludf.DUMMYFUNCTION("IMPORTRANGE(""https://docs.google.com/spreadsheets/d/1IYY_tgx_IHuhSq3AJ5eI5OnqOPBNLWSHKh2a30DoXe8/edit?usp=sharing"",""กระบี่!J520"")"),0)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IFERROR(__xludf.DUMMYFUNCTION("IMPORTRANGE(""https://docs.google.com/spreadsheets/d/1IYY_tgx_IHuhSq3AJ5eI5OnqOPBNLWSHKh2a30DoXe8/edit?usp=sharing"",""กระบี่!I521"")"),0)</f>
        <v>0</v>
      </c>
      <c r="J626" s="195">
        <f ca="1">IFERROR(__xludf.DUMMYFUNCTION("IMPORTRANGE(""https://docs.google.com/spreadsheets/d/1IYY_tgx_IHuhSq3AJ5eI5OnqOPBNLWSHKh2a30DoXe8/edit?usp=sharing"",""กระบี่!J521"")"),0)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2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2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IFERROR(__xludf.DUMMYFUNCTION("IMPORTRANGE(""https://docs.google.com/spreadsheets/d/1IYY_tgx_IHuhSq3AJ5eI5OnqOPBNLWSHKh2a30DoXe8/edit?usp=sharing"",""กระบี่!I523"")"),220041)</f>
        <v>220041</v>
      </c>
      <c r="J628" s="347">
        <f ca="1">IFERROR(__xludf.DUMMYFUNCTION("IMPORTRANGE(""https://docs.google.com/spreadsheets/d/1IYY_tgx_IHuhSq3AJ5eI5OnqOPBNLWSHKh2a30DoXe8/edit?usp=sharing"",""กระบี่!J523"")"),441861.55)</f>
        <v>441861.55</v>
      </c>
      <c r="K628" s="348">
        <f t="shared" ref="K628:K635" ca="1" si="129">IF(I628&gt;0,J628*100/I628,0)</f>
        <v>200.80873564472077</v>
      </c>
      <c r="L628" s="348"/>
      <c r="M628" s="348"/>
      <c r="N628" s="348"/>
      <c r="O628" s="175"/>
      <c r="P628" s="175"/>
    </row>
    <row r="629" spans="1:16" ht="21.75" customHeight="1" x14ac:dyDescent="0.2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IFERROR(__xludf.DUMMYFUNCTION("IMPORTRANGE(""https://docs.google.com/spreadsheets/d/1IYY_tgx_IHuhSq3AJ5eI5OnqOPBNLWSHKh2a30DoXe8/edit?usp=sharing"",""กระบี่!I524"")"),22)</f>
        <v>22</v>
      </c>
      <c r="J629" s="347">
        <f ca="1">IFERROR(__xludf.DUMMYFUNCTION("IMPORTRANGE(""https://docs.google.com/spreadsheets/d/1IYY_tgx_IHuhSq3AJ5eI5OnqOPBNLWSHKh2a30DoXe8/edit?usp=sharing"",""กระบี่!J524"")"),28)</f>
        <v>28</v>
      </c>
      <c r="K629" s="348">
        <f t="shared" ca="1" si="129"/>
        <v>127.27272727272727</v>
      </c>
      <c r="L629" s="348"/>
      <c r="M629" s="348"/>
      <c r="N629" s="348"/>
      <c r="O629" s="175"/>
      <c r="P629" s="175"/>
    </row>
    <row r="630" spans="1:16" ht="21.75" customHeight="1" x14ac:dyDescent="0.2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IFERROR(__xludf.DUMMYFUNCTION("IMPORTRANGE(""https://docs.google.com/spreadsheets/d/1IYY_tgx_IHuhSq3AJ5eI5OnqOPBNLWSHKh2a30DoXe8/edit?usp=sharing"",""กระบี่!I525"")"),6396540.34)</f>
        <v>6396540.3399999999</v>
      </c>
      <c r="J630" s="347">
        <f ca="1">IFERROR(__xludf.DUMMYFUNCTION("IMPORTRANGE(""https://docs.google.com/spreadsheets/d/1IYY_tgx_IHuhSq3AJ5eI5OnqOPBNLWSHKh2a30DoXe8/edit?usp=sharing"",""กระบี่!J525"")"),1719184.14)</f>
        <v>1719184.14</v>
      </c>
      <c r="K630" s="348">
        <f t="shared" ca="1" si="129"/>
        <v>26.876781019409627</v>
      </c>
      <c r="L630" s="348"/>
      <c r="M630" s="348"/>
      <c r="N630" s="348"/>
      <c r="O630" s="175"/>
      <c r="P630" s="175"/>
    </row>
    <row r="631" spans="1:16" ht="21.75" customHeight="1" x14ac:dyDescent="0.2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IFERROR(__xludf.DUMMYFUNCTION("IMPORTRANGE(""https://docs.google.com/spreadsheets/d/1IYY_tgx_IHuhSq3AJ5eI5OnqOPBNLWSHKh2a30DoXe8/edit?usp=sharing"",""กระบี่!I526"")"),176)</f>
        <v>176</v>
      </c>
      <c r="J631" s="347">
        <f ca="1">IFERROR(__xludf.DUMMYFUNCTION("IMPORTRANGE(""https://docs.google.com/spreadsheets/d/1IYY_tgx_IHuhSq3AJ5eI5OnqOPBNLWSHKh2a30DoXe8/edit?usp=sharing"",""กระบี่!J526"")"),123)</f>
        <v>123</v>
      </c>
      <c r="K631" s="348">
        <f t="shared" ca="1" si="129"/>
        <v>69.88636363636364</v>
      </c>
      <c r="L631" s="348"/>
      <c r="M631" s="348"/>
      <c r="N631" s="348"/>
      <c r="O631" s="175"/>
      <c r="P631" s="175"/>
    </row>
    <row r="632" spans="1:16" ht="21.75" customHeight="1" x14ac:dyDescent="0.2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IFERROR(__xludf.DUMMYFUNCTION("IMPORTRANGE(""https://docs.google.com/spreadsheets/d/1IYY_tgx_IHuhSq3AJ5eI5OnqOPBNLWSHKh2a30DoXe8/edit?usp=sharing"",""กระบี่!I527"")"),0)</f>
        <v>0</v>
      </c>
      <c r="J632" s="347">
        <f ca="1">IFERROR(__xludf.DUMMYFUNCTION("IMPORTRANGE(""https://docs.google.com/spreadsheets/d/1IYY_tgx_IHuhSq3AJ5eI5OnqOPBNLWSHKh2a30DoXe8/edit?usp=sharing"",""กระบี่!J527"")"),66990.4)</f>
        <v>66990.399999999994</v>
      </c>
      <c r="K632" s="348">
        <f t="shared" ca="1" si="129"/>
        <v>0</v>
      </c>
      <c r="L632" s="348"/>
      <c r="M632" s="348"/>
      <c r="N632" s="348"/>
      <c r="O632" s="175"/>
      <c r="P632" s="175"/>
    </row>
    <row r="633" spans="1:16" ht="21.75" customHeight="1" x14ac:dyDescent="0.2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IFERROR(__xludf.DUMMYFUNCTION("IMPORTRANGE(""https://docs.google.com/spreadsheets/d/1IYY_tgx_IHuhSq3AJ5eI5OnqOPBNLWSHKh2a30DoXe8/edit?usp=sharing"",""กระบี่!I528"")"),0)</f>
        <v>0</v>
      </c>
      <c r="J633" s="347">
        <f ca="1">IFERROR(__xludf.DUMMYFUNCTION("IMPORTRANGE(""https://docs.google.com/spreadsheets/d/1IYY_tgx_IHuhSq3AJ5eI5OnqOPBNLWSHKh2a30DoXe8/edit?usp=sharing"",""กระบี่!J528"")"),17)</f>
        <v>17</v>
      </c>
      <c r="K633" s="348">
        <f t="shared" ca="1" si="129"/>
        <v>0</v>
      </c>
      <c r="L633" s="348"/>
      <c r="M633" s="348"/>
      <c r="N633" s="348"/>
      <c r="O633" s="175"/>
      <c r="P633" s="175"/>
    </row>
    <row r="634" spans="1:16" ht="21.75" customHeight="1" x14ac:dyDescent="0.2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IFERROR(__xludf.DUMMYFUNCTION("IMPORTRANGE(""https://docs.google.com/spreadsheets/d/1IYY_tgx_IHuhSq3AJ5eI5OnqOPBNLWSHKh2a30DoXe8/edit?usp=sharing"",""กระบี่!I529"")"),200000)</f>
        <v>200000</v>
      </c>
      <c r="J634" s="347">
        <f ca="1">IFERROR(__xludf.DUMMYFUNCTION("IMPORTRANGE(""https://docs.google.com/spreadsheets/d/1IYY_tgx_IHuhSq3AJ5eI5OnqOPBNLWSHKh2a30DoXe8/edit?usp=sharing"",""กระบี่!J529"")"),200000)</f>
        <v>200000</v>
      </c>
      <c r="K634" s="348">
        <f t="shared" ca="1" si="129"/>
        <v>100</v>
      </c>
      <c r="L634" s="348"/>
      <c r="M634" s="348"/>
      <c r="N634" s="348"/>
      <c r="O634" s="175"/>
      <c r="P634" s="175"/>
    </row>
    <row r="635" spans="1:16" ht="21.75" customHeight="1" x14ac:dyDescent="0.25">
      <c r="A635" s="565"/>
      <c r="B635" s="566"/>
      <c r="C635" s="566"/>
      <c r="D635" s="567"/>
      <c r="E635" s="568"/>
      <c r="F635" s="568"/>
      <c r="G635" s="569"/>
      <c r="H635" s="570" t="s">
        <v>37</v>
      </c>
      <c r="I635" s="404">
        <f ca="1">IFERROR(__xludf.DUMMYFUNCTION("IMPORTRANGE(""https://docs.google.com/spreadsheets/d/1IYY_tgx_IHuhSq3AJ5eI5OnqOPBNLWSHKh2a30DoXe8/edit?usp=sharing"",""กระบี่!I530"")"),4)</f>
        <v>4</v>
      </c>
      <c r="J635" s="404">
        <f ca="1">IFERROR(__xludf.DUMMYFUNCTION("IMPORTRANGE(""https://docs.google.com/spreadsheets/d/1IYY_tgx_IHuhSq3AJ5eI5OnqOPBNLWSHKh2a30DoXe8/edit?usp=sharing"",""กระบี่!J530"")"),4)</f>
        <v>4</v>
      </c>
      <c r="K635" s="357">
        <f t="shared" ca="1" si="129"/>
        <v>100</v>
      </c>
      <c r="L635" s="357"/>
      <c r="M635" s="357"/>
      <c r="N635" s="357"/>
      <c r="O635" s="250"/>
      <c r="P635" s="250"/>
    </row>
    <row r="636" spans="1:16" ht="21.75" customHeight="1" x14ac:dyDescent="0.3">
      <c r="A636" s="520"/>
      <c r="B636" s="599" t="s">
        <v>237</v>
      </c>
      <c r="C636" s="600"/>
      <c r="D636" s="600"/>
      <c r="E636" s="600"/>
      <c r="F636" s="600"/>
      <c r="G636" s="600"/>
      <c r="H636" s="521"/>
      <c r="I636" s="521"/>
      <c r="J636" s="521"/>
      <c r="K636" s="522"/>
      <c r="L636" s="523">
        <f ca="1">SUM(L637,L638)</f>
        <v>0</v>
      </c>
      <c r="M636" s="524"/>
      <c r="N636" s="523">
        <f ca="1">SUM(N637:N638)</f>
        <v>0</v>
      </c>
      <c r="O636" s="523">
        <f t="shared" ref="O636:O640" ca="1" si="130">+IF(L636&gt;0,N636*100/L636,0)</f>
        <v>0</v>
      </c>
      <c r="P636" s="523"/>
    </row>
    <row r="637" spans="1:16" ht="21.75" customHeight="1" x14ac:dyDescent="0.3">
      <c r="A637" s="525"/>
      <c r="B637" s="526"/>
      <c r="C637" s="527" t="s">
        <v>16</v>
      </c>
      <c r="D637" s="601" t="s">
        <v>77</v>
      </c>
      <c r="E637" s="575"/>
      <c r="F637" s="575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130"/>
        <v>0</v>
      </c>
      <c r="P637" s="535"/>
    </row>
    <row r="638" spans="1:16" ht="21.75" customHeight="1" x14ac:dyDescent="0.3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0</v>
      </c>
      <c r="M638" s="534"/>
      <c r="N638" s="535">
        <f ca="1">SUM(N639:N640)</f>
        <v>0</v>
      </c>
      <c r="O638" s="535">
        <f t="shared" ca="1" si="130"/>
        <v>0</v>
      </c>
      <c r="P638" s="535"/>
    </row>
    <row r="639" spans="1:16" ht="21.75" customHeight="1" x14ac:dyDescent="0.3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130"/>
        <v>0</v>
      </c>
      <c r="P639" s="535"/>
    </row>
    <row r="640" spans="1:16" ht="21.75" customHeight="1" x14ac:dyDescent="0.3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0</v>
      </c>
      <c r="M640" s="534"/>
      <c r="N640" s="535">
        <f ca="1">SUM(N641:N644)</f>
        <v>0</v>
      </c>
      <c r="O640" s="535">
        <f t="shared" ca="1" si="130"/>
        <v>0</v>
      </c>
      <c r="P640" s="535"/>
    </row>
    <row r="641" spans="1:16" ht="21.75" customHeight="1" x14ac:dyDescent="0.3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3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3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3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0</v>
      </c>
      <c r="O644" s="537"/>
      <c r="P644" s="537"/>
    </row>
    <row r="645" spans="1:16" ht="21.75" customHeight="1" x14ac:dyDescent="0.3">
      <c r="A645" s="539"/>
      <c r="B645" s="540"/>
      <c r="C645" s="527" t="s">
        <v>16</v>
      </c>
      <c r="D645" s="602" t="s">
        <v>242</v>
      </c>
      <c r="E645" s="575"/>
      <c r="F645" s="575"/>
      <c r="G645" s="575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3">
      <c r="A646" s="539"/>
      <c r="B646" s="540"/>
      <c r="C646" s="540"/>
      <c r="D646" s="541">
        <v>1</v>
      </c>
      <c r="E646" s="603" t="s">
        <v>44</v>
      </c>
      <c r="F646" s="575"/>
      <c r="G646" s="575"/>
      <c r="H646" s="536"/>
      <c r="I646" s="542"/>
      <c r="J646" s="543">
        <f ca="1">IFERROR(__xludf.DUMMYFUNCTION("IMPORTRANGE(""https://docs.google.com/spreadsheets/d/1IYY_tgx_IHuhSq3AJ5eI5OnqOPBNLWSHKh2a30DoXe8/edit?usp=sharing"",""กระบี่!J541"")"),0)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3">
      <c r="A647" s="539"/>
      <c r="B647" s="540"/>
      <c r="C647" s="540"/>
      <c r="D647" s="545">
        <v>2</v>
      </c>
      <c r="E647" s="604" t="s">
        <v>243</v>
      </c>
      <c r="F647" s="575"/>
      <c r="G647" s="575"/>
      <c r="H647" s="536"/>
      <c r="I647" s="542"/>
      <c r="J647" s="543">
        <f ca="1">IFERROR(__xludf.DUMMYFUNCTION("IMPORTRANGE(""https://docs.google.com/spreadsheets/d/1IYY_tgx_IHuhSq3AJ5eI5OnqOPBNLWSHKh2a30DoXe8/edit?usp=sharing"",""กระบี่!J542"")"),0)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3">
      <c r="A648" s="525"/>
      <c r="B648" s="526"/>
      <c r="C648" s="526"/>
      <c r="D648" s="526"/>
      <c r="E648" s="526"/>
      <c r="F648" s="598" t="s">
        <v>244</v>
      </c>
      <c r="G648" s="575"/>
      <c r="H648" s="529" t="s">
        <v>122</v>
      </c>
      <c r="I648" s="546">
        <f ca="1">IFERROR(__xludf.DUMMYFUNCTION("IMPORTRANGE(""https://docs.google.com/spreadsheets/d/1IYY_tgx_IHuhSq3AJ5eI5OnqOPBNLWSHKh2a30DoXe8/edit?usp=sharing"",""กระบี่!I543"")"),0)</f>
        <v>0</v>
      </c>
      <c r="J648" s="547">
        <f ca="1">IFERROR(__xludf.DUMMYFUNCTION("IMPORTRANGE(""https://docs.google.com/spreadsheets/d/1IYY_tgx_IHuhSq3AJ5eI5OnqOPBNLWSHKh2a30DoXe8/edit?usp=sharing"",""กระบี่!J543"")"),0)</f>
        <v>0</v>
      </c>
      <c r="K648" s="548">
        <f t="shared" ref="K648:K651" ca="1" si="131">IF(I648&gt;0,J648*100/I648,0)</f>
        <v>0</v>
      </c>
      <c r="L648" s="535">
        <f ca="1">IFERROR(__xludf.DUMMYFUNCTION("IMPORTRANGE(""https://docs.google.com/spreadsheets/d/1IYY_tgx_IHuhSq3AJ5eI5OnqOPBNLWSHKh2a30DoXe8/edit?usp=sharing"",""กระบี่!L543"")"),0)</f>
        <v>0</v>
      </c>
      <c r="M648" s="534"/>
      <c r="N648" s="549">
        <f ca="1">IFERROR(__xludf.DUMMYFUNCTION("IMPORTRANGE(""https://docs.google.com/spreadsheets/d/1IYY_tgx_IHuhSq3AJ5eI5OnqOPBNLWSHKh2a30DoXe8/edit?usp=sharing"",""กระบี่!M543"")"),0)</f>
        <v>0</v>
      </c>
      <c r="O648" s="548">
        <f t="shared" ref="O648:O651" ca="1" si="132">IF(L648&gt;0,N648*100/L648,0)</f>
        <v>0</v>
      </c>
      <c r="P648" s="548"/>
    </row>
    <row r="649" spans="1:16" ht="21.75" customHeight="1" x14ac:dyDescent="0.3">
      <c r="A649" s="525"/>
      <c r="B649" s="526"/>
      <c r="C649" s="526"/>
      <c r="D649" s="526"/>
      <c r="E649" s="526"/>
      <c r="F649" s="598" t="s">
        <v>245</v>
      </c>
      <c r="G649" s="575"/>
      <c r="H649" s="529" t="s">
        <v>37</v>
      </c>
      <c r="I649" s="546">
        <f ca="1">IFERROR(__xludf.DUMMYFUNCTION("IMPORTRANGE(""https://docs.google.com/spreadsheets/d/1IYY_tgx_IHuhSq3AJ5eI5OnqOPBNLWSHKh2a30DoXe8/edit?usp=sharing"",""กระบี่!I544"")"),0)</f>
        <v>0</v>
      </c>
      <c r="J649" s="547">
        <f ca="1">IFERROR(__xludf.DUMMYFUNCTION("IMPORTRANGE(""https://docs.google.com/spreadsheets/d/1IYY_tgx_IHuhSq3AJ5eI5OnqOPBNLWSHKh2a30DoXe8/edit?usp=sharing"",""กระบี่!J544"")"),0)</f>
        <v>0</v>
      </c>
      <c r="K649" s="548">
        <f t="shared" ca="1" si="131"/>
        <v>0</v>
      </c>
      <c r="L649" s="535">
        <f ca="1">IFERROR(__xludf.DUMMYFUNCTION("IMPORTRANGE(""https://docs.google.com/spreadsheets/d/1IYY_tgx_IHuhSq3AJ5eI5OnqOPBNLWSHKh2a30DoXe8/edit?usp=sharing"",""กระบี่!L544"")"),0)</f>
        <v>0</v>
      </c>
      <c r="M649" s="534"/>
      <c r="N649" s="549">
        <f ca="1">IFERROR(__xludf.DUMMYFUNCTION("IMPORTRANGE(""https://docs.google.com/spreadsheets/d/1IYY_tgx_IHuhSq3AJ5eI5OnqOPBNLWSHKh2a30DoXe8/edit?usp=sharing"",""กระบี่!M544"")"),0)</f>
        <v>0</v>
      </c>
      <c r="O649" s="548">
        <f t="shared" ca="1" si="132"/>
        <v>0</v>
      </c>
      <c r="P649" s="548"/>
    </row>
    <row r="650" spans="1:16" ht="21.75" customHeight="1" x14ac:dyDescent="0.3">
      <c r="A650" s="525"/>
      <c r="B650" s="526"/>
      <c r="C650" s="526"/>
      <c r="D650" s="526"/>
      <c r="E650" s="526"/>
      <c r="F650" s="598" t="s">
        <v>246</v>
      </c>
      <c r="G650" s="575"/>
      <c r="H650" s="529" t="s">
        <v>122</v>
      </c>
      <c r="I650" s="546">
        <f ca="1">IFERROR(__xludf.DUMMYFUNCTION("IMPORTRANGE(""https://docs.google.com/spreadsheets/d/1IYY_tgx_IHuhSq3AJ5eI5OnqOPBNLWSHKh2a30DoXe8/edit?usp=sharing"",""กระบี่!I545"")"),0)</f>
        <v>0</v>
      </c>
      <c r="J650" s="547">
        <f ca="1">IFERROR(__xludf.DUMMYFUNCTION("IMPORTRANGE(""https://docs.google.com/spreadsheets/d/1IYY_tgx_IHuhSq3AJ5eI5OnqOPBNLWSHKh2a30DoXe8/edit?usp=sharing"",""กระบี่!J545"")"),0)</f>
        <v>0</v>
      </c>
      <c r="K650" s="548">
        <f t="shared" ca="1" si="131"/>
        <v>0</v>
      </c>
      <c r="L650" s="535">
        <f ca="1">IFERROR(__xludf.DUMMYFUNCTION("IMPORTRANGE(""https://docs.google.com/spreadsheets/d/1IYY_tgx_IHuhSq3AJ5eI5OnqOPBNLWSHKh2a30DoXe8/edit?usp=sharing"",""กระบี่!L545"")"),0)</f>
        <v>0</v>
      </c>
      <c r="M650" s="534"/>
      <c r="N650" s="549">
        <f ca="1">IFERROR(__xludf.DUMMYFUNCTION("IMPORTRANGE(""https://docs.google.com/spreadsheets/d/1IYY_tgx_IHuhSq3AJ5eI5OnqOPBNLWSHKh2a30DoXe8/edit?usp=sharing"",""กระบี่!M545"")"),0)</f>
        <v>0</v>
      </c>
      <c r="O650" s="548">
        <f t="shared" ca="1" si="132"/>
        <v>0</v>
      </c>
      <c r="P650" s="548"/>
    </row>
    <row r="651" spans="1:16" ht="21.75" customHeight="1" x14ac:dyDescent="0.3">
      <c r="A651" s="525"/>
      <c r="B651" s="526"/>
      <c r="C651" s="526"/>
      <c r="D651" s="526"/>
      <c r="E651" s="526"/>
      <c r="F651" s="598" t="s">
        <v>247</v>
      </c>
      <c r="G651" s="575"/>
      <c r="H651" s="529" t="s">
        <v>122</v>
      </c>
      <c r="I651" s="546">
        <f ca="1">IFERROR(__xludf.DUMMYFUNCTION("IMPORTRANGE(""https://docs.google.com/spreadsheets/d/1IYY_tgx_IHuhSq3AJ5eI5OnqOPBNLWSHKh2a30DoXe8/edit?usp=sharing"",""กระบี่!I546"")"),0)</f>
        <v>0</v>
      </c>
      <c r="J651" s="547">
        <f ca="1">J657+J660</f>
        <v>0</v>
      </c>
      <c r="K651" s="548">
        <f t="shared" ca="1" si="131"/>
        <v>0</v>
      </c>
      <c r="L651" s="535">
        <f ca="1">IFERROR(__xludf.DUMMYFUNCTION("IMPORTRANGE(""https://docs.google.com/spreadsheets/d/1IYY_tgx_IHuhSq3AJ5eI5OnqOPBNLWSHKh2a30DoXe8/edit?usp=sharing"",""กระบี่!L546"")"),0)</f>
        <v>0</v>
      </c>
      <c r="M651" s="534"/>
      <c r="N651" s="549">
        <f ca="1">IFERROR(__xludf.DUMMYFUNCTION("IMPORTRANGE(""https://docs.google.com/spreadsheets/d/1IYY_tgx_IHuhSq3AJ5eI5OnqOPBNLWSHKh2a30DoXe8/edit?usp=sharing"",""กระบี่!M546"")"),0)</f>
        <v>0</v>
      </c>
      <c r="O651" s="548">
        <f t="shared" ca="1" si="132"/>
        <v>0</v>
      </c>
      <c r="P651" s="548"/>
    </row>
    <row r="652" spans="1:16" ht="21.75" customHeight="1" x14ac:dyDescent="0.3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IFERROR(__xludf.DUMMYFUNCTION("IMPORTRANGE(""https://docs.google.com/spreadsheets/d/1IYY_tgx_IHuhSq3AJ5eI5OnqOPBNLWSHKh2a30DoXe8/edit?usp=sharing"",""กระบี่!J547"")"),0)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3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IFERROR(__xludf.DUMMYFUNCTION("IMPORTRANGE(""https://docs.google.com/spreadsheets/d/1IYY_tgx_IHuhSq3AJ5eI5OnqOPBNLWSHKh2a30DoXe8/edit?usp=sharing"",""กระบี่!J548"")"),0)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3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3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IFERROR(__xludf.DUMMYFUNCTION("IMPORTRANGE(""https://docs.google.com/spreadsheets/d/1IYY_tgx_IHuhSq3AJ5eI5OnqOPBNLWSHKh2a30DoXe8/edit?usp=sharing"",""กระบี่!J550"")"),0)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3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IFERROR(__xludf.DUMMYFUNCTION("IMPORTRANGE(""https://docs.google.com/spreadsheets/d/1IYY_tgx_IHuhSq3AJ5eI5OnqOPBNLWSHKh2a30DoXe8/edit?usp=sharing"",""กระบี่!J551"")"),0)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3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IFERROR(__xludf.DUMMYFUNCTION("IMPORTRANGE(""https://docs.google.com/spreadsheets/d/1IYY_tgx_IHuhSq3AJ5eI5OnqOPBNLWSHKh2a30DoXe8/edit?usp=sharing"",""กระบี่!J552"")"),0)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3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IFERROR(__xludf.DUMMYFUNCTION("IMPORTRANGE(""https://docs.google.com/spreadsheets/d/1IYY_tgx_IHuhSq3AJ5eI5OnqOPBNLWSHKh2a30DoXe8/edit?usp=sharing"",""กระบี่!J553"")"),0)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3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IFERROR(__xludf.DUMMYFUNCTION("IMPORTRANGE(""https://docs.google.com/spreadsheets/d/1IYY_tgx_IHuhSq3AJ5eI5OnqOPBNLWSHKh2a30DoXe8/edit?usp=sharing"",""กระบี่!J554"")"),0)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3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IFERROR(__xludf.DUMMYFUNCTION("IMPORTRANGE(""https://docs.google.com/spreadsheets/d/1IYY_tgx_IHuhSq3AJ5eI5OnqOPBNLWSHKh2a30DoXe8/edit?usp=sharing"",""กระบี่!J555"")"),0)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3">
      <c r="A661" s="525"/>
      <c r="B661" s="526"/>
      <c r="C661" s="526"/>
      <c r="D661" s="526"/>
      <c r="E661" s="526"/>
      <c r="F661" s="598" t="s">
        <v>252</v>
      </c>
      <c r="G661" s="575"/>
      <c r="H661" s="529" t="s">
        <v>37</v>
      </c>
      <c r="I661" s="550"/>
      <c r="J661" s="547">
        <f ca="1">IFERROR(__xludf.DUMMYFUNCTION("IMPORTRANGE(""https://docs.google.com/spreadsheets/d/1IYY_tgx_IHuhSq3AJ5eI5OnqOPBNLWSHKh2a30DoXe8/edit?usp=sharing"",""กระบี่!J556"")"),0)</f>
        <v>0</v>
      </c>
      <c r="K661" s="548"/>
      <c r="L661" s="535">
        <f ca="1">IFERROR(__xludf.DUMMYFUNCTION("IMPORTRANGE(""https://docs.google.com/spreadsheets/d/1IYY_tgx_IHuhSq3AJ5eI5OnqOPBNLWSHKh2a30DoXe8/edit?usp=sharing"",""กระบี่!L556"")"),0)</f>
        <v>0</v>
      </c>
      <c r="M661" s="534"/>
      <c r="N661" s="549">
        <f ca="1">IFERROR(__xludf.DUMMYFUNCTION("IMPORTRANGE(""https://docs.google.com/spreadsheets/d/1IYY_tgx_IHuhSq3AJ5eI5OnqOPBNLWSHKh2a30DoXe8/edit?usp=sharing"",""กระบี่!M556"")"),0)</f>
        <v>0</v>
      </c>
      <c r="O661" s="548">
        <f ca="1">IF(L661&gt;0,N661*100/L661,0)</f>
        <v>0</v>
      </c>
      <c r="P661" s="548"/>
    </row>
    <row r="662" spans="1:16" ht="21.75" customHeight="1" x14ac:dyDescent="0.3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IFERROR(__xludf.DUMMYFUNCTION("IMPORTRANGE(""https://docs.google.com/spreadsheets/d/1IYY_tgx_IHuhSq3AJ5eI5OnqOPBNLWSHKh2a30DoXe8/edit?usp=sharing"",""กระบี่!J557"")"),0)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3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IFERROR(__xludf.DUMMYFUNCTION("IMPORTRANGE(""https://docs.google.com/spreadsheets/d/1IYY_tgx_IHuhSq3AJ5eI5OnqOPBNLWSHKh2a30DoXe8/edit?usp=sharing"",""กระบี่!I558"")"),0)</f>
        <v>0</v>
      </c>
      <c r="J663" s="547">
        <f ca="1">IFERROR(__xludf.DUMMYFUNCTION("IMPORTRANGE(""https://docs.google.com/spreadsheets/d/1IYY_tgx_IHuhSq3AJ5eI5OnqOPBNLWSHKh2a30DoXe8/edit?usp=sharing"",""กระบี่!J558"")"),0)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3">
      <c r="A664" s="525"/>
      <c r="B664" s="526"/>
      <c r="C664" s="526"/>
      <c r="D664" s="526"/>
      <c r="E664" s="526"/>
      <c r="F664" s="598" t="s">
        <v>253</v>
      </c>
      <c r="G664" s="575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3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IFERROR(__xludf.DUMMYFUNCTION("IMPORTRANGE(""https://docs.google.com/spreadsheets/d/1IYY_tgx_IHuhSq3AJ5eI5OnqOPBNLWSHKh2a30DoXe8/edit?usp=sharing"",""กระบี่!I560"")"),0)</f>
        <v>0</v>
      </c>
      <c r="J665" s="547">
        <f ca="1">IFERROR(__xludf.DUMMYFUNCTION("IMPORTRANGE(""https://docs.google.com/spreadsheets/d/1IYY_tgx_IHuhSq3AJ5eI5OnqOPBNLWSHKh2a30DoXe8/edit?usp=sharing"",""กระบี่!J560"")"),0)</f>
        <v>0</v>
      </c>
      <c r="K665" s="548">
        <f ca="1">IF(I665&gt;0,J665*100/I665,0)</f>
        <v>0</v>
      </c>
      <c r="L665" s="535">
        <f ca="1">IFERROR(__xludf.DUMMYFUNCTION("IMPORTRANGE(""https://docs.google.com/spreadsheets/d/1IYY_tgx_IHuhSq3AJ5eI5OnqOPBNLWSHKh2a30DoXe8/edit?usp=sharing"",""กระบี่!L560"")"),0)</f>
        <v>0</v>
      </c>
      <c r="M665" s="534"/>
      <c r="N665" s="549">
        <f ca="1">IFERROR(__xludf.DUMMYFUNCTION("IMPORTRANGE(""https://docs.google.com/spreadsheets/d/1IYY_tgx_IHuhSq3AJ5eI5OnqOPBNLWSHKh2a30DoXe8/edit?usp=sharing"",""กระบี่!M560"")"),0)</f>
        <v>0</v>
      </c>
      <c r="O665" s="548">
        <f ca="1">IF(L665&gt;0,N665*100/L665,0)</f>
        <v>0</v>
      </c>
      <c r="P665" s="548"/>
    </row>
    <row r="666" spans="1:16" ht="21.75" customHeight="1" x14ac:dyDescent="0.3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IFERROR(__xludf.DUMMYFUNCTION("IMPORTRANGE(""https://docs.google.com/spreadsheets/d/1IYY_tgx_IHuhSq3AJ5eI5OnqOPBNLWSHKh2a30DoXe8/edit?usp=sharing"",""กระบี่!J561"")"),0)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3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IFERROR(__xludf.DUMMYFUNCTION("IMPORTRANGE(""https://docs.google.com/spreadsheets/d/1IYY_tgx_IHuhSq3AJ5eI5OnqOPBNLWSHKh2a30DoXe8/edit?usp=sharing"",""กระบี่!J562"")"),0)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3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IFERROR(__xludf.DUMMYFUNCTION("IMPORTRANGE(""https://docs.google.com/spreadsheets/d/1IYY_tgx_IHuhSq3AJ5eI5OnqOPBNLWSHKh2a30DoXe8/edit?usp=sharing"",""กระบี่!I563"")"),0)</f>
        <v>0</v>
      </c>
      <c r="J668" s="547">
        <f ca="1">IFERROR(__xludf.DUMMYFUNCTION("IMPORTRANGE(""https://docs.google.com/spreadsheets/d/1IYY_tgx_IHuhSq3AJ5eI5OnqOPBNLWSHKh2a30DoXe8/edit?usp=sharing"",""กระบี่!J563"")"),0)</f>
        <v>0</v>
      </c>
      <c r="K668" s="548">
        <f ca="1">IF(I668&gt;0,J668*100/I668,0)</f>
        <v>0</v>
      </c>
      <c r="L668" s="535">
        <f ca="1">IFERROR(__xludf.DUMMYFUNCTION("IMPORTRANGE(""https://docs.google.com/spreadsheets/d/1IYY_tgx_IHuhSq3AJ5eI5OnqOPBNLWSHKh2a30DoXe8/edit?usp=sharing"",""กระบี่!L563"")"),0)</f>
        <v>0</v>
      </c>
      <c r="M668" s="534"/>
      <c r="N668" s="549">
        <f ca="1">IFERROR(__xludf.DUMMYFUNCTION("IMPORTRANGE(""https://docs.google.com/spreadsheets/d/1IYY_tgx_IHuhSq3AJ5eI5OnqOPBNLWSHKh2a30DoXe8/edit?usp=sharing"",""กระบี่!M563"")"),0)</f>
        <v>0</v>
      </c>
      <c r="O668" s="548">
        <f ca="1">IF(L668&gt;0,N668*100/L668,0)</f>
        <v>0</v>
      </c>
      <c r="P668" s="548"/>
    </row>
    <row r="669" spans="1:16" ht="21.75" customHeight="1" x14ac:dyDescent="0.3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IFERROR(__xludf.DUMMYFUNCTION("IMPORTRANGE(""https://docs.google.com/spreadsheets/d/1IYY_tgx_IHuhSq3AJ5eI5OnqOPBNLWSHKh2a30DoXe8/edit?usp=sharing"",""กระบี่!J564"")"),0)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3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IFERROR(__xludf.DUMMYFUNCTION("IMPORTRANGE(""https://docs.google.com/spreadsheets/d/1IYY_tgx_IHuhSq3AJ5eI5OnqOPBNLWSHKh2a30DoXe8/edit?usp=sharing"",""กระบี่!J565"")"),0)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3">
      <c r="A671" s="525"/>
      <c r="B671" s="526"/>
      <c r="C671" s="526"/>
      <c r="D671" s="526"/>
      <c r="E671" s="526"/>
      <c r="F671" s="598" t="s">
        <v>256</v>
      </c>
      <c r="G671" s="575"/>
      <c r="H671" s="529" t="s">
        <v>122</v>
      </c>
      <c r="I671" s="546">
        <f ca="1">IFERROR(__xludf.DUMMYFUNCTION("IMPORTRANGE(""https://docs.google.com/spreadsheets/d/1IYY_tgx_IHuhSq3AJ5eI5OnqOPBNLWSHKh2a30DoXe8/edit?usp=sharing"",""กระบี่!I566"")"),0)</f>
        <v>0</v>
      </c>
      <c r="J671" s="547">
        <f ca="1">J674+J677</f>
        <v>0</v>
      </c>
      <c r="K671" s="548">
        <f ca="1">IF(I671&gt;0,J671*100/I671,0)</f>
        <v>0</v>
      </c>
      <c r="L671" s="535">
        <f ca="1">IFERROR(__xludf.DUMMYFUNCTION("IMPORTRANGE(""https://docs.google.com/spreadsheets/d/1IYY_tgx_IHuhSq3AJ5eI5OnqOPBNLWSHKh2a30DoXe8/edit?usp=sharing"",""กระบี่!L566"")"),0)</f>
        <v>0</v>
      </c>
      <c r="M671" s="534"/>
      <c r="N671" s="549">
        <f ca="1">IFERROR(__xludf.DUMMYFUNCTION("IMPORTRANGE(""https://docs.google.com/spreadsheets/d/1IYY_tgx_IHuhSq3AJ5eI5OnqOPBNLWSHKh2a30DoXe8/edit?usp=sharing"",""กระบี่!M566"")"),0)</f>
        <v>0</v>
      </c>
      <c r="O671" s="548">
        <f ca="1">IF(L671&gt;0,N671*100/L671,0)</f>
        <v>0</v>
      </c>
      <c r="P671" s="548"/>
    </row>
    <row r="672" spans="1:16" ht="21.75" customHeight="1" x14ac:dyDescent="0.3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IFERROR(__xludf.DUMMYFUNCTION("IMPORTRANGE(""https://docs.google.com/spreadsheets/d/1IYY_tgx_IHuhSq3AJ5eI5OnqOPBNLWSHKh2a30DoXe8/edit?usp=sharing"",""กระบี่!J567"")"),0)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3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IFERROR(__xludf.DUMMYFUNCTION("IMPORTRANGE(""https://docs.google.com/spreadsheets/d/1IYY_tgx_IHuhSq3AJ5eI5OnqOPBNLWSHKh2a30DoXe8/edit?usp=sharing"",""กระบี่!J568"")"),0)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3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IFERROR(__xludf.DUMMYFUNCTION("IMPORTRANGE(""https://docs.google.com/spreadsheets/d/1IYY_tgx_IHuhSq3AJ5eI5OnqOPBNLWSHKh2a30DoXe8/edit?usp=sharing"",""กระบี่!J569"")"),0)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3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IFERROR(__xludf.DUMMYFUNCTION("IMPORTRANGE(""https://docs.google.com/spreadsheets/d/1IYY_tgx_IHuhSq3AJ5eI5OnqOPBNLWSHKh2a30DoXe8/edit?usp=sharing"",""กระบี่!J570"")"),0)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3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IFERROR(__xludf.DUMMYFUNCTION("IMPORTRANGE(""https://docs.google.com/spreadsheets/d/1IYY_tgx_IHuhSq3AJ5eI5OnqOPBNLWSHKh2a30DoXe8/edit?usp=sharing"",""กระบี่!J571"")"),0)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3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IFERROR(__xludf.DUMMYFUNCTION("IMPORTRANGE(""https://docs.google.com/spreadsheets/d/1IYY_tgx_IHuhSq3AJ5eI5OnqOPBNLWSHKh2a30DoXe8/edit?usp=sharing"",""กระบี่!J572"")"),0)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2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2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2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2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2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2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2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2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2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2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2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2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2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2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2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2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2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2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2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2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2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2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2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2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2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2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2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2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2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2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2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2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2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2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2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2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2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2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2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2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2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2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2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2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2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2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2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2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2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2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2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2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2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2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2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2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2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2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2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2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2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2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2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2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2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2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2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2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2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2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2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2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2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2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2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2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2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2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2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2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2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2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2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2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2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2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2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2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2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2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2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2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2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2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2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2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2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2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2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2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2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2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2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2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2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2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2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2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2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2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2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2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2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2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2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2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2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2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2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2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2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2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2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2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2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2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2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2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2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2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2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2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2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2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2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2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2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2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2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2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2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2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2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2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2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2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2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2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2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2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2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2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2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2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2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2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2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2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2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2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2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2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2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2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2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2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2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2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2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2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2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2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2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2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2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2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2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2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2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2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2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2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2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2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2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2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2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2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2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2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2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2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2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2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2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2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2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2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2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2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2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2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2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2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2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2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2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2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2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2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2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2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2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2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2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2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2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2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2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2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2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2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2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2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2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2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2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2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2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2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2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2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2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2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2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2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2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2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2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2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2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2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2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2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2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2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2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2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2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2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2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2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2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2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2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2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2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2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2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2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2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2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2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2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2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2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2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2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2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2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2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2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2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2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2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2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2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2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2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2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2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2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2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2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2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2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2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2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2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2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2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2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2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2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2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2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2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2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2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2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2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2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2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2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2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2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2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2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2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2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2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2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2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2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2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2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2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2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2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2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2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2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2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2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2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2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2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2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2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2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2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2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2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2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2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2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2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2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2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2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2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2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2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2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2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2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2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2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2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2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2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2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2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2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2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2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2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2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2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2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2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2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2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2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2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2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2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2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2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2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2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2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2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2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2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2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2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2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2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2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2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2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2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2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2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2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2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2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2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2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2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2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2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2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2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2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2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2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2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2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2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2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2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2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2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2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2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2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2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2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2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2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2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2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2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2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2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2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2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2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2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2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2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2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2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2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2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2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2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2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2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2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2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2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2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2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2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2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2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2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2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2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2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2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2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2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2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2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2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2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2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2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2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2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2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2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2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2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2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2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2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2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2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2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2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2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19685039370078741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32" max="16383" man="1"/>
    <brk id="62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86" t="s">
        <v>0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  <c r="N1" s="586"/>
      <c r="O1" s="586"/>
      <c r="P1" s="586"/>
    </row>
    <row r="2" spans="1:16" ht="18" customHeight="1" x14ac:dyDescent="0.25">
      <c r="A2" s="586" t="s">
        <v>262</v>
      </c>
      <c r="B2" s="586"/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86"/>
      <c r="P2" s="586"/>
    </row>
    <row r="3" spans="1:16" ht="18" customHeight="1" x14ac:dyDescent="0.25">
      <c r="A3" s="586" t="s">
        <v>290</v>
      </c>
      <c r="B3" s="586"/>
      <c r="C3" s="586"/>
      <c r="D3" s="586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  <c r="P3" s="586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2" t="s">
        <v>2</v>
      </c>
      <c r="B5" s="593"/>
      <c r="C5" s="593"/>
      <c r="D5" s="593"/>
      <c r="E5" s="593"/>
      <c r="F5" s="593"/>
      <c r="G5" s="594"/>
      <c r="H5" s="587" t="s">
        <v>3</v>
      </c>
      <c r="I5" s="589" t="s">
        <v>4</v>
      </c>
      <c r="J5" s="580"/>
      <c r="K5" s="581"/>
      <c r="L5" s="590" t="s">
        <v>5</v>
      </c>
      <c r="M5" s="581"/>
      <c r="N5" s="591" t="s">
        <v>6</v>
      </c>
      <c r="O5" s="580"/>
      <c r="P5" s="581"/>
    </row>
    <row r="6" spans="1:16" ht="21.75" customHeight="1" x14ac:dyDescent="0.25">
      <c r="A6" s="595"/>
      <c r="B6" s="596"/>
      <c r="C6" s="596"/>
      <c r="D6" s="596"/>
      <c r="E6" s="596"/>
      <c r="F6" s="596"/>
      <c r="G6" s="597"/>
      <c r="H6" s="58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5" t="s">
        <v>15</v>
      </c>
      <c r="B7" s="580"/>
      <c r="C7" s="580"/>
      <c r="D7" s="580"/>
      <c r="E7" s="580"/>
      <c r="F7" s="580"/>
      <c r="G7" s="58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4" t="s">
        <v>17</v>
      </c>
      <c r="E8" s="573"/>
      <c r="F8" s="573"/>
      <c r="G8" s="573"/>
      <c r="H8" s="20" t="s">
        <v>12</v>
      </c>
      <c r="I8" s="21"/>
      <c r="J8" s="21"/>
      <c r="K8" s="22"/>
      <c r="L8" s="23">
        <f t="shared" ref="L8:N8" ca="1" si="0">L9+L10</f>
        <v>6166152.7400000002</v>
      </c>
      <c r="M8" s="23">
        <f t="shared" ca="1" si="0"/>
        <v>4176555.74</v>
      </c>
      <c r="N8" s="23">
        <f t="shared" ca="1" si="0"/>
        <v>5664883</v>
      </c>
      <c r="O8" s="22">
        <f t="shared" ref="O8:O16" ca="1" si="1">IF(L8&gt;0,N8*100/L8,0)</f>
        <v>91.870624015713233</v>
      </c>
      <c r="P8" s="22">
        <f t="shared" ref="P8:P16" ca="1" si="2">IF(M8&gt;0,N8*100/M8,0)</f>
        <v>135.63527826878709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6166152.7400000002</v>
      </c>
      <c r="M10" s="30">
        <f t="shared" ca="1" si="4"/>
        <v>4176555.74</v>
      </c>
      <c r="N10" s="30">
        <f t="shared" ca="1" si="4"/>
        <v>5664883</v>
      </c>
      <c r="O10" s="29">
        <f t="shared" ca="1" si="1"/>
        <v>91.870624015713233</v>
      </c>
      <c r="P10" s="29">
        <f t="shared" ca="1" si="2"/>
        <v>135.63527826878709</v>
      </c>
    </row>
    <row r="11" spans="1:16" ht="21.75" customHeight="1" x14ac:dyDescent="0.3">
      <c r="A11" s="31"/>
      <c r="B11" s="32"/>
      <c r="C11" s="33" t="s">
        <v>16</v>
      </c>
      <c r="D11" s="574" t="s">
        <v>20</v>
      </c>
      <c r="E11" s="575"/>
      <c r="F11" s="57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6073752.7400000002</v>
      </c>
      <c r="M12" s="38">
        <f t="shared" ca="1" si="6"/>
        <v>4084155.74</v>
      </c>
      <c r="N12" s="38">
        <f t="shared" ca="1" si="6"/>
        <v>5572483</v>
      </c>
      <c r="O12" s="38">
        <f t="shared" ca="1" si="1"/>
        <v>91.746951819444661</v>
      </c>
      <c r="P12" s="38">
        <f t="shared" ca="1" si="2"/>
        <v>136.44149133255138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1909097.74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4164655</v>
      </c>
      <c r="M14" s="38">
        <f t="shared" si="8"/>
        <v>0</v>
      </c>
      <c r="N14" s="38">
        <f t="shared" ca="1" si="8"/>
        <v>1812194.15</v>
      </c>
      <c r="O14" s="41">
        <f t="shared" ca="1" si="1"/>
        <v>43.513667998909874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4" t="s">
        <v>23</v>
      </c>
      <c r="E15" s="57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92400</v>
      </c>
      <c r="M16" s="38">
        <f t="shared" ca="1" si="10"/>
        <v>92400</v>
      </c>
      <c r="N16" s="38">
        <f t="shared" ca="1" si="10"/>
        <v>92400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85" t="s">
        <v>24</v>
      </c>
      <c r="B17" s="580"/>
      <c r="C17" s="580"/>
      <c r="D17" s="580"/>
      <c r="E17" s="580"/>
      <c r="F17" s="580"/>
      <c r="G17" s="58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4" t="s">
        <v>17</v>
      </c>
      <c r="E18" s="573"/>
      <c r="F18" s="573"/>
      <c r="G18" s="573"/>
      <c r="H18" s="20" t="s">
        <v>12</v>
      </c>
      <c r="I18" s="21"/>
      <c r="J18" s="21"/>
      <c r="K18" s="22"/>
      <c r="L18" s="23">
        <f t="shared" ref="L18:N18" ca="1" si="11">L19+L20</f>
        <v>4106055.74</v>
      </c>
      <c r="M18" s="23">
        <f t="shared" ca="1" si="11"/>
        <v>4176555.74</v>
      </c>
      <c r="N18" s="23">
        <f t="shared" ca="1" si="11"/>
        <v>3852688.8499999996</v>
      </c>
      <c r="O18" s="22">
        <f t="shared" ref="O18:O20" ca="1" si="12">IF(L18&gt;0,N18*100/L18,0)</f>
        <v>93.829433742660285</v>
      </c>
      <c r="P18" s="22">
        <f t="shared" ref="P18:P26" ca="1" si="13">IF(M18&gt;0,N18*100/M18,0)</f>
        <v>92.245598762199194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4106055.74</v>
      </c>
      <c r="M20" s="30">
        <f t="shared" ca="1" si="15"/>
        <v>4176555.74</v>
      </c>
      <c r="N20" s="30">
        <f t="shared" ca="1" si="15"/>
        <v>3852688.8499999996</v>
      </c>
      <c r="O20" s="29">
        <f t="shared" ca="1" si="12"/>
        <v>93.829433742660285</v>
      </c>
      <c r="P20" s="29">
        <f t="shared" ca="1" si="13"/>
        <v>92.245598762199194</v>
      </c>
    </row>
    <row r="21" spans="1:16" ht="21.75" customHeight="1" x14ac:dyDescent="0.3">
      <c r="A21" s="31"/>
      <c r="B21" s="32"/>
      <c r="C21" s="33" t="s">
        <v>16</v>
      </c>
      <c r="D21" s="574" t="s">
        <v>20</v>
      </c>
      <c r="E21" s="575"/>
      <c r="F21" s="575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4013655.74</v>
      </c>
      <c r="M22" s="42">
        <f t="shared" ca="1" si="18"/>
        <v>4084155.74</v>
      </c>
      <c r="N22" s="41">
        <f t="shared" ca="1" si="18"/>
        <v>3760288.8499999996</v>
      </c>
      <c r="O22" s="41">
        <f t="shared" ca="1" si="17"/>
        <v>93.687378629040055</v>
      </c>
      <c r="P22" s="41">
        <f t="shared" ca="1" si="13"/>
        <v>92.070163073653973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1909097.74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2104558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4" t="s">
        <v>23</v>
      </c>
      <c r="E25" s="575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92400</v>
      </c>
      <c r="M26" s="50">
        <f t="shared" ca="1" si="22"/>
        <v>92400</v>
      </c>
      <c r="N26" s="50">
        <f t="shared" ca="1" si="22"/>
        <v>92400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85" t="s">
        <v>25</v>
      </c>
      <c r="B27" s="580"/>
      <c r="C27" s="580"/>
      <c r="D27" s="580"/>
      <c r="E27" s="580"/>
      <c r="F27" s="580"/>
      <c r="G27" s="58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4" t="s">
        <v>17</v>
      </c>
      <c r="E28" s="573"/>
      <c r="F28" s="573"/>
      <c r="G28" s="573"/>
      <c r="H28" s="20" t="s">
        <v>12</v>
      </c>
      <c r="I28" s="21"/>
      <c r="J28" s="21"/>
      <c r="K28" s="22"/>
      <c r="L28" s="23">
        <f t="shared" ref="L28:N28" ca="1" si="23">L29+L30</f>
        <v>2060097</v>
      </c>
      <c r="M28" s="23">
        <f t="shared" si="23"/>
        <v>0</v>
      </c>
      <c r="N28" s="23">
        <f t="shared" ca="1" si="23"/>
        <v>1812194.15</v>
      </c>
      <c r="O28" s="22">
        <f t="shared" ref="O28:O30" ca="1" si="24">IF(L28&gt;0,N28*100/L28,0)</f>
        <v>87.96644769639488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2060097</v>
      </c>
      <c r="M30" s="30">
        <f t="shared" si="27"/>
        <v>0</v>
      </c>
      <c r="N30" s="30">
        <f t="shared" ca="1" si="27"/>
        <v>1812194.15</v>
      </c>
      <c r="O30" s="29">
        <f t="shared" ca="1" si="24"/>
        <v>87.96644769639488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4" t="s">
        <v>20</v>
      </c>
      <c r="E31" s="575"/>
      <c r="F31" s="575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2060097</v>
      </c>
      <c r="M32" s="41">
        <f t="shared" si="30"/>
        <v>0</v>
      </c>
      <c r="N32" s="41">
        <f t="shared" ca="1" si="30"/>
        <v>1812194.15</v>
      </c>
      <c r="O32" s="41">
        <f t="shared" ca="1" si="29"/>
        <v>87.96644769639488</v>
      </c>
      <c r="P32" s="41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2060097</v>
      </c>
      <c r="M34" s="41">
        <f t="shared" si="32"/>
        <v>0</v>
      </c>
      <c r="N34" s="41">
        <f t="shared" ca="1" si="32"/>
        <v>1812194.15</v>
      </c>
      <c r="O34" s="41">
        <f t="shared" ca="1" si="29"/>
        <v>87.96644769639488</v>
      </c>
      <c r="P34" s="41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4" t="s">
        <v>23</v>
      </c>
      <c r="E35" s="575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4106055.74</v>
      </c>
      <c r="M37" s="55">
        <f t="shared" ca="1" si="33"/>
        <v>4176555.74</v>
      </c>
      <c r="N37" s="55">
        <f t="shared" ca="1" si="33"/>
        <v>3852688.8499999996</v>
      </c>
      <c r="O37" s="56">
        <f t="shared" ca="1" si="29"/>
        <v>93.829433742660285</v>
      </c>
      <c r="P37" s="56">
        <f t="shared" ca="1" si="25"/>
        <v>92.245598762199194</v>
      </c>
    </row>
    <row r="38" spans="1:16" ht="21.75" customHeight="1" x14ac:dyDescent="0.3">
      <c r="A38" s="579" t="s">
        <v>27</v>
      </c>
      <c r="B38" s="580"/>
      <c r="C38" s="580"/>
      <c r="D38" s="580"/>
      <c r="E38" s="580"/>
      <c r="F38" s="580"/>
      <c r="G38" s="581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82" t="s">
        <v>28</v>
      </c>
      <c r="C39" s="573"/>
      <c r="D39" s="573"/>
      <c r="E39" s="573"/>
      <c r="F39" s="573"/>
      <c r="G39" s="573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83" t="s">
        <v>17</v>
      </c>
      <c r="E41" s="575"/>
      <c r="F41" s="575"/>
      <c r="G41" s="575"/>
      <c r="H41" s="76" t="s">
        <v>12</v>
      </c>
      <c r="I41" s="77"/>
      <c r="J41" s="77"/>
      <c r="K41" s="78"/>
      <c r="L41" s="79">
        <f t="shared" ref="L41:N41" ca="1" si="34">L42+L43</f>
        <v>704100</v>
      </c>
      <c r="M41" s="79">
        <f t="shared" ca="1" si="34"/>
        <v>704100</v>
      </c>
      <c r="N41" s="79">
        <f t="shared" ca="1" si="34"/>
        <v>676670.85</v>
      </c>
      <c r="O41" s="78">
        <f t="shared" ref="O41:O43" ca="1" si="35">IF(L41&gt;0,N41*100/L41,0)</f>
        <v>96.104367277375374</v>
      </c>
      <c r="P41" s="78">
        <f t="shared" ref="P41:P43" ca="1" si="36">IF(M41&gt;0,N41*100/M41,0)</f>
        <v>96.104367277375374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704100</v>
      </c>
      <c r="M43" s="79">
        <f t="shared" ca="1" si="38"/>
        <v>704100</v>
      </c>
      <c r="N43" s="79">
        <f t="shared" ca="1" si="38"/>
        <v>676670.85</v>
      </c>
      <c r="O43" s="78">
        <f t="shared" ca="1" si="35"/>
        <v>96.104367277375374</v>
      </c>
      <c r="P43" s="78">
        <f t="shared" ca="1" si="36"/>
        <v>96.104367277375374</v>
      </c>
    </row>
    <row r="44" spans="1:16" ht="21.75" customHeight="1" x14ac:dyDescent="0.3">
      <c r="A44" s="80"/>
      <c r="B44" s="81"/>
      <c r="C44" s="82" t="s">
        <v>16</v>
      </c>
      <c r="D44" s="576" t="s">
        <v>20</v>
      </c>
      <c r="E44" s="575"/>
      <c r="F44" s="575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704100</v>
      </c>
      <c r="M45" s="91">
        <f ca="1">IFERROR(__xludf.DUMMYFUNCTION("IMPORTRANGE(""https://docs.google.com/spreadsheets/d/1Yj_ptqi66GCucihVvJfMjLAmec39IyEx_6qawtMGysU/edit?usp=sharing"",""สบก!Q82"")"),704100)</f>
        <v>704100</v>
      </c>
      <c r="N45" s="91">
        <f ca="1">IFERROR(__xludf.DUMMYFUNCTION("IMPORTRANGE(""https://docs.google.com/spreadsheets/d/1Yj_ptqi66GCucihVvJfMjLAmec39IyEx_6qawtMGysU/edit?usp=sharing"",""สบก!R82"")"),676670.85)</f>
        <v>676670.85</v>
      </c>
      <c r="O45" s="92">
        <f ca="1">IF(L45&gt;0,N45*100/L45,0)</f>
        <v>96.104367277375374</v>
      </c>
      <c r="P45" s="92">
        <f ca="1">IF(M45&gt;0,N45*100/M45,0)</f>
        <v>96.104367277375374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IFERROR(__xludf.DUMMYFUNCTION("IMPORTRANGE(""https://docs.google.com/spreadsheets/d/1Yj_ptqi66GCucihVvJfMjLAmec39IyEx_6qawtMGysU/edit?usp=sharing"",""สบก!M82"")"),704100)</f>
        <v>704100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IFERROR(__xludf.DUMMYFUNCTION("IMPORTRANGE(""https://docs.google.com/spreadsheets/d/1Yj_ptqi66GCucihVvJfMjLAmec39IyEx_6qawtMGysU/edit?usp=sharing"",""สบก!N82"")"),0)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6" t="s">
        <v>23</v>
      </c>
      <c r="E48" s="57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IFERROR(__xludf.DUMMYFUNCTION("IMPORTRANGE(""https://docs.google.com/spreadsheets/d/1Yj_ptqi66GCucihVvJfMjLAmec39IyEx_6qawtMGysU/edit?usp=sharing"",""สบก!O82"")"),0)</f>
        <v>0</v>
      </c>
      <c r="M49" s="101"/>
      <c r="N49" s="91">
        <f ca="1">IFERROR(__xludf.DUMMYFUNCTION("IMPORTRANGE(""https://docs.google.com/spreadsheets/d/1Yj_ptqi66GCucihVvJfMjLAmec39IyEx_6qawtMGysU/edit?usp=sharing"",""สบก!S82"")"),0)</f>
        <v>0</v>
      </c>
      <c r="O49" s="101">
        <f ca="1">IF(L49&gt;0,N49*100/L49,0)</f>
        <v>0</v>
      </c>
      <c r="P49" s="101"/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577" t="s">
        <v>32</v>
      </c>
      <c r="C52" s="575"/>
      <c r="D52" s="575"/>
      <c r="E52" s="575"/>
      <c r="F52" s="575"/>
      <c r="G52" s="575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578" t="s">
        <v>17</v>
      </c>
      <c r="E53" s="575"/>
      <c r="F53" s="575"/>
      <c r="G53" s="575"/>
      <c r="H53" s="122" t="s">
        <v>12</v>
      </c>
      <c r="I53" s="123"/>
      <c r="J53" s="123"/>
      <c r="K53" s="124"/>
      <c r="L53" s="125">
        <f t="shared" ref="L53:N53" ca="1" si="39">L54+L55</f>
        <v>697797.74</v>
      </c>
      <c r="M53" s="125">
        <f t="shared" ca="1" si="39"/>
        <v>697797.74</v>
      </c>
      <c r="N53" s="125">
        <f t="shared" ca="1" si="39"/>
        <v>646297.74</v>
      </c>
      <c r="O53" s="124">
        <f t="shared" ref="O53:O55" ca="1" si="40">IF(L53&gt;0,N53*100/L53,0)</f>
        <v>92.619637891059952</v>
      </c>
      <c r="P53" s="124">
        <f t="shared" ref="P53:P55" ca="1" si="41">IF(M53&gt;0,N53*100/M53,0)</f>
        <v>92.619637891059952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697797.74</v>
      </c>
      <c r="M55" s="125">
        <f t="shared" ca="1" si="43"/>
        <v>697797.74</v>
      </c>
      <c r="N55" s="125">
        <f t="shared" ca="1" si="43"/>
        <v>646297.74</v>
      </c>
      <c r="O55" s="124">
        <f t="shared" ca="1" si="40"/>
        <v>92.619637891059952</v>
      </c>
      <c r="P55" s="124">
        <f t="shared" ca="1" si="41"/>
        <v>92.619637891059952</v>
      </c>
    </row>
    <row r="56" spans="1:16" ht="21.75" customHeight="1" x14ac:dyDescent="0.3">
      <c r="A56" s="80"/>
      <c r="B56" s="81"/>
      <c r="C56" s="82" t="s">
        <v>16</v>
      </c>
      <c r="D56" s="576" t="s">
        <v>20</v>
      </c>
      <c r="E56" s="575"/>
      <c r="F56" s="575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697797.74</v>
      </c>
      <c r="M57" s="91">
        <f ca="1">IFERROR(__xludf.DUMMYFUNCTION("IMPORTRANGE(""https://docs.google.com/spreadsheets/d/1Yj_ptqi66GCucihVvJfMjLAmec39IyEx_6qawtMGysU/edit?usp=sharing"",""สบก!Z82"")"),697797.74)</f>
        <v>697797.74</v>
      </c>
      <c r="N57" s="91">
        <f ca="1">IFERROR(__xludf.DUMMYFUNCTION("IMPORTRANGE(""https://docs.google.com/spreadsheets/d/1Yj_ptqi66GCucihVvJfMjLAmec39IyEx_6qawtMGysU/edit?usp=sharing"",""สบก!AA82"")"),646297.74)</f>
        <v>646297.74</v>
      </c>
      <c r="O57" s="92">
        <f ca="1">IF(L57&gt;0,N57*100/L57,0)</f>
        <v>92.619637891059952</v>
      </c>
      <c r="P57" s="92">
        <f ca="1">IF(M57&gt;0,N57*100/M57,0)</f>
        <v>92.619637891059952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IFERROR(__xludf.DUMMYFUNCTION("IMPORTRANGE(""https://docs.google.com/spreadsheets/d/1Yj_ptqi66GCucihVvJfMjLAmec39IyEx_6qawtMGysU/edit?usp=sharing"",""สบก!V82"")"),697797.74)</f>
        <v>697797.74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IFERROR(__xludf.DUMMYFUNCTION("IMPORTRANGE(""https://docs.google.com/spreadsheets/d/1Yj_ptqi66GCucihVvJfMjLAmec39IyEx_6qawtMGysU/edit?usp=sharing"",""สบก!W82"")"),0)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6" t="s">
        <v>23</v>
      </c>
      <c r="E60" s="57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IFERROR(__xludf.DUMMYFUNCTION("IMPORTRANGE(""https://docs.google.com/spreadsheets/d/1Yj_ptqi66GCucihVvJfMjLAmec39IyEx_6qawtMGysU/edit?usp=sharing"",""สบก!X82"")"),0)</f>
        <v>0</v>
      </c>
      <c r="M61" s="101"/>
      <c r="N61" s="91">
        <f ca="1">IFERROR(__xludf.DUMMYFUNCTION("IMPORTRANGE(""https://docs.google.com/spreadsheets/d/1Yj_ptqi66GCucihVvJfMjLAmec39IyEx_6qawtMGysU/edit?usp=sharing"",""สบก!AB82"")"),0)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IFERROR(__xludf.DUMMYFUNCTION("IMPORTRANGE(""https://docs.google.com/spreadsheets/d/1IYY_tgx_IHuhSq3AJ5eI5OnqOPBNLWSHKh2a30DoXe8/edit?usp=sharing"",""ชุมพร!I9"")"),2)</f>
        <v>2</v>
      </c>
      <c r="J64" s="146">
        <f ca="1">IFERROR(__xludf.DUMMYFUNCTION("IMPORTRANGE(""https://docs.google.com/spreadsheets/d/1IYY_tgx_IHuhSq3AJ5eI5OnqOPBNLWSHKh2a30DoXe8/edit?usp=sharing"",""ชุมพร!J9"")"),2)</f>
        <v>2</v>
      </c>
      <c r="K64" s="147">
        <f t="shared" ref="K64:K65" ca="1" si="44">IF(I64&gt;0,J64*100/I64,0)</f>
        <v>100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IFERROR(__xludf.DUMMYFUNCTION("IMPORTRANGE(""https://docs.google.com/spreadsheets/d/1IYY_tgx_IHuhSq3AJ5eI5OnqOPBNLWSHKh2a30DoXe8/edit?usp=sharing"",""ชุมพร!I10"")"),70)</f>
        <v>70</v>
      </c>
      <c r="J65" s="146">
        <f ca="1">IFERROR(__xludf.DUMMYFUNCTION("IMPORTRANGE(""https://docs.google.com/spreadsheets/d/1IYY_tgx_IHuhSq3AJ5eI5OnqOPBNLWSHKh2a30DoXe8/edit?usp=sharing"",""ชุมพร!J10"")"),70)</f>
        <v>70</v>
      </c>
      <c r="K65" s="147">
        <f t="shared" ca="1" si="44"/>
        <v>100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2" t="s">
        <v>17</v>
      </c>
      <c r="E66" s="573"/>
      <c r="F66" s="573"/>
      <c r="G66" s="573"/>
      <c r="H66" s="153" t="s">
        <v>12</v>
      </c>
      <c r="I66" s="154"/>
      <c r="J66" s="154"/>
      <c r="K66" s="155"/>
      <c r="L66" s="156">
        <f t="shared" ref="L66:N66" ca="1" si="45">L67+L68</f>
        <v>827100</v>
      </c>
      <c r="M66" s="156">
        <f t="shared" ca="1" si="45"/>
        <v>827100</v>
      </c>
      <c r="N66" s="156">
        <f t="shared" ca="1" si="45"/>
        <v>806189.36</v>
      </c>
      <c r="O66" s="155">
        <f t="shared" ref="O66:O68" ca="1" si="46">IF(L66&gt;0,N66*100/L66,0)</f>
        <v>97.471812356426071</v>
      </c>
      <c r="P66" s="155">
        <f t="shared" ref="P66:P68" ca="1" si="47">IF(M66&gt;0,N66*100/M66,0)</f>
        <v>97.471812356426071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827100</v>
      </c>
      <c r="M68" s="161">
        <f t="shared" ca="1" si="49"/>
        <v>827100</v>
      </c>
      <c r="N68" s="161">
        <f t="shared" ca="1" si="49"/>
        <v>806189.36</v>
      </c>
      <c r="O68" s="160">
        <f t="shared" ca="1" si="46"/>
        <v>97.471812356426071</v>
      </c>
      <c r="P68" s="160">
        <f t="shared" ca="1" si="47"/>
        <v>97.471812356426071</v>
      </c>
    </row>
    <row r="69" spans="1:16" ht="21.75" customHeight="1" x14ac:dyDescent="0.3">
      <c r="A69" s="162"/>
      <c r="B69" s="163"/>
      <c r="C69" s="163" t="s">
        <v>16</v>
      </c>
      <c r="D69" s="574" t="s">
        <v>20</v>
      </c>
      <c r="E69" s="575"/>
      <c r="F69" s="575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827100</v>
      </c>
      <c r="M70" s="173">
        <f ca="1">IFERROR(__xludf.DUMMYFUNCTION("IMPORTRANGE(""https://docs.google.com/spreadsheets/d/1Yj_ptqi66GCucihVvJfMjLAmec39IyEx_6qawtMGysU/edit?usp=sharing"",""สบก!AI82"")"),827100)</f>
        <v>827100</v>
      </c>
      <c r="N70" s="174">
        <f ca="1">IFERROR(__xludf.DUMMYFUNCTION("IMPORTRANGE(""https://docs.google.com/spreadsheets/d/1Yj_ptqi66GCucihVvJfMjLAmec39IyEx_6qawtMGysU/edit?usp=sharing"",""สบก!AJ82"")"),806189.36)</f>
        <v>806189.36</v>
      </c>
      <c r="O70" s="175">
        <f ca="1">IF(L70&gt;0,N70*100/L70,0)</f>
        <v>97.471812356426071</v>
      </c>
      <c r="P70" s="175">
        <f ca="1">IF(M70&gt;0,N70*100/M70,0)</f>
        <v>97.471812356426071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IFERROR(__xludf.DUMMYFUNCTION("IMPORTRANGE(""https://docs.google.com/spreadsheets/d/1Yj_ptqi66GCucihVvJfMjLAmec39IyEx_6qawtMGysU/edit?usp=sharing"",""สบก!AE82"")"),180800)</f>
        <v>180800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IFERROR(__xludf.DUMMYFUNCTION("IMPORTRANGE(""https://docs.google.com/spreadsheets/d/1Yj_ptqi66GCucihVvJfMjLAmec39IyEx_6qawtMGysU/edit?usp=sharing"",""สบก!AF82"")"),646300)</f>
        <v>646300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6" t="s">
        <v>23</v>
      </c>
      <c r="E73" s="575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IFERROR(__xludf.DUMMYFUNCTION("IMPORTRANGE(""https://docs.google.com/spreadsheets/d/1Yj_ptqi66GCucihVvJfMjLAmec39IyEx_6qawtMGysU/edit?usp=sharing"",""สบก!AG82"")"),0)</f>
        <v>0</v>
      </c>
      <c r="M74" s="101"/>
      <c r="N74" s="91">
        <f ca="1">IFERROR(__xludf.DUMMYFUNCTION("IMPORTRANGE(""https://docs.google.com/spreadsheets/d/1Yj_ptqi66GCucihVvJfMjLAmec39IyEx_6qawtMGysU/edit?usp=sharing"",""สบก!AK82"")"),0)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IFERROR(__xludf.DUMMYFUNCTION("IMPORTRANGE(""https://docs.google.com/spreadsheets/d/1IYY_tgx_IHuhSq3AJ5eI5OnqOPBNLWSHKh2a30DoXe8/edit?usp=sharing"",""ชุมพร!J16"")"),0)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IFERROR(__xludf.DUMMYFUNCTION("IMPORTRANGE(""https://docs.google.com/spreadsheets/d/1IYY_tgx_IHuhSq3AJ5eI5OnqOPBNLWSHKh2a30DoXe8/edit?usp=sharing"",""ชุมพร!J17"")"),1)</f>
        <v>1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IFERROR(__xludf.DUMMYFUNCTION("IMPORTRANGE(""https://docs.google.com/spreadsheets/d/1IYY_tgx_IHuhSq3AJ5eI5OnqOPBNLWSHKh2a30DoXe8/edit?usp=sharing"",""ชุมพร!J18"")"),1)</f>
        <v>1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IFERROR(__xludf.DUMMYFUNCTION("IMPORTRANGE(""https://docs.google.com/spreadsheets/d/1IYY_tgx_IHuhSq3AJ5eI5OnqOPBNLWSHKh2a30DoXe8/edit?usp=sharing"",""ชุมพร!J19"")"),1)</f>
        <v>1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IFERROR(__xludf.DUMMYFUNCTION("IMPORTRANGE(""https://docs.google.com/spreadsheets/d/1IYY_tgx_IHuhSq3AJ5eI5OnqOPBNLWSHKh2a30DoXe8/edit?usp=sharing"",""ชุมพร!I20"")"),2)</f>
        <v>2</v>
      </c>
      <c r="J80" s="207">
        <f ca="1">IFERROR(__xludf.DUMMYFUNCTION("IMPORTRANGE(""https://docs.google.com/spreadsheets/d/1IYY_tgx_IHuhSq3AJ5eI5OnqOPBNLWSHKh2a30DoXe8/edit?usp=sharing"",""ชุมพร!J20"")"),2)</f>
        <v>2</v>
      </c>
      <c r="K80" s="208">
        <f t="shared" ref="K80:K88" ca="1" si="50">IF(I80&gt;0,J80*100/I80,0)</f>
        <v>100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IFERROR(__xludf.DUMMYFUNCTION("IMPORTRANGE(""https://docs.google.com/spreadsheets/d/1IYY_tgx_IHuhSq3AJ5eI5OnqOPBNLWSHKh2a30DoXe8/edit?usp=sharing"",""ชุมพร!I21"")"),70)</f>
        <v>70</v>
      </c>
      <c r="J81" s="207">
        <f ca="1">IFERROR(__xludf.DUMMYFUNCTION("IMPORTRANGE(""https://docs.google.com/spreadsheets/d/1IYY_tgx_IHuhSq3AJ5eI5OnqOPBNLWSHKh2a30DoXe8/edit?usp=sharing"",""ชุมพร!J21"")"),70)</f>
        <v>70</v>
      </c>
      <c r="K81" s="208">
        <f t="shared" ca="1" si="50"/>
        <v>100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IFERROR(__xludf.DUMMYFUNCTION("IMPORTRANGE(""https://docs.google.com/spreadsheets/d/1IYY_tgx_IHuhSq3AJ5eI5OnqOPBNLWSHKh2a30DoXe8/edit?usp=sharing"",""ชุมพร!I22"")"),0)</f>
        <v>0</v>
      </c>
      <c r="J82" s="210">
        <f ca="1">IFERROR(__xludf.DUMMYFUNCTION("IMPORTRANGE(""https://docs.google.com/spreadsheets/d/1IYY_tgx_IHuhSq3AJ5eI5OnqOPBNLWSHKh2a30DoXe8/edit?usp=sharing"",""ชุมพร!J22"")"),0)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IFERROR(__xludf.DUMMYFUNCTION("IMPORTRANGE(""https://docs.google.com/spreadsheets/d/1IYY_tgx_IHuhSq3AJ5eI5OnqOPBNLWSHKh2a30DoXe8/edit?usp=sharing"",""ชุมพร!I23"")"),0)</f>
        <v>0</v>
      </c>
      <c r="J83" s="210">
        <f ca="1">IFERROR(__xludf.DUMMYFUNCTION("IMPORTRANGE(""https://docs.google.com/spreadsheets/d/1IYY_tgx_IHuhSq3AJ5eI5OnqOPBNLWSHKh2a30DoXe8/edit?usp=sharing"",""ชุมพร!J23"")"),0)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IFERROR(__xludf.DUMMYFUNCTION("IMPORTRANGE(""https://docs.google.com/spreadsheets/d/1IYY_tgx_IHuhSq3AJ5eI5OnqOPBNLWSHKh2a30DoXe8/edit?usp=sharing"",""ชุมพร!I24"")"),0)</f>
        <v>0</v>
      </c>
      <c r="J84" s="195">
        <f ca="1">IFERROR(__xludf.DUMMYFUNCTION("IMPORTRANGE(""https://docs.google.com/spreadsheets/d/1IYY_tgx_IHuhSq3AJ5eI5OnqOPBNLWSHKh2a30DoXe8/edit?usp=sharing"",""ชุมพร!J24"")"),0)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IFERROR(__xludf.DUMMYFUNCTION("IMPORTRANGE(""https://docs.google.com/spreadsheets/d/1IYY_tgx_IHuhSq3AJ5eI5OnqOPBNLWSHKh2a30DoXe8/edit?usp=sharing"",""ชุมพร!I25"")"),0)</f>
        <v>0</v>
      </c>
      <c r="J85" s="195">
        <f ca="1">IFERROR(__xludf.DUMMYFUNCTION("IMPORTRANGE(""https://docs.google.com/spreadsheets/d/1IYY_tgx_IHuhSq3AJ5eI5OnqOPBNLWSHKh2a30DoXe8/edit?usp=sharing"",""ชุมพร!J25"")"),0)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IFERROR(__xludf.DUMMYFUNCTION("IMPORTRANGE(""https://docs.google.com/spreadsheets/d/1IYY_tgx_IHuhSq3AJ5eI5OnqOPBNLWSHKh2a30DoXe8/edit?usp=sharing"",""ชุมพร!I26"")"),2)</f>
        <v>2</v>
      </c>
      <c r="J86" s="210">
        <f ca="1">IFERROR(__xludf.DUMMYFUNCTION("IMPORTRANGE(""https://docs.google.com/spreadsheets/d/1IYY_tgx_IHuhSq3AJ5eI5OnqOPBNLWSHKh2a30DoXe8/edit?usp=sharing"",""ชุมพร!J26"")"),2)</f>
        <v>2</v>
      </c>
      <c r="K86" s="167">
        <f t="shared" ca="1" si="50"/>
        <v>100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IFERROR(__xludf.DUMMYFUNCTION("IMPORTRANGE(""https://docs.google.com/spreadsheets/d/1IYY_tgx_IHuhSq3AJ5eI5OnqOPBNLWSHKh2a30DoXe8/edit?usp=sharing"",""ชุมพร!I27"")"),70)</f>
        <v>70</v>
      </c>
      <c r="J87" s="210">
        <f ca="1">IFERROR(__xludf.DUMMYFUNCTION("IMPORTRANGE(""https://docs.google.com/spreadsheets/d/1IYY_tgx_IHuhSq3AJ5eI5OnqOPBNLWSHKh2a30DoXe8/edit?usp=sharing"",""ชุมพร!J27"")"),70)</f>
        <v>70</v>
      </c>
      <c r="K87" s="167">
        <f t="shared" ca="1" si="50"/>
        <v>100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IFERROR(__xludf.DUMMYFUNCTION("IMPORTRANGE(""https://docs.google.com/spreadsheets/d/1IYY_tgx_IHuhSq3AJ5eI5OnqOPBNLWSHKh2a30DoXe8/edit?usp=sharing"",""ชุมพร!I28"")"),2)</f>
        <v>2</v>
      </c>
      <c r="J88" s="210">
        <f ca="1">IFERROR(__xludf.DUMMYFUNCTION("IMPORTRANGE(""https://docs.google.com/spreadsheets/d/1IYY_tgx_IHuhSq3AJ5eI5OnqOPBNLWSHKh2a30DoXe8/edit?usp=sharing"",""ชุมพร!J28"")"),2)</f>
        <v>2</v>
      </c>
      <c r="K88" s="167">
        <f t="shared" ca="1" si="50"/>
        <v>100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IFERROR(__xludf.DUMMYFUNCTION("IMPORTRANGE(""https://docs.google.com/spreadsheets/d/1IYY_tgx_IHuhSq3AJ5eI5OnqOPBNLWSHKh2a30DoXe8/edit?usp=sharing"",""ชุมพร!J29"")"),0)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IFERROR(__xludf.DUMMYFUNCTION("IMPORTRANGE(""https://docs.google.com/spreadsheets/d/1IYY_tgx_IHuhSq3AJ5eI5OnqOPBNLWSHKh2a30DoXe8/edit?usp=sharing"",""ชุมพร!J30"")"),0)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IFERROR(__xludf.DUMMYFUNCTION("IMPORTRANGE(""https://docs.google.com/spreadsheets/d/1IYY_tgx_IHuhSq3AJ5eI5OnqOPBNLWSHKh2a30DoXe8/edit?usp=sharing"",""ชุมพร!I32"")"),4)</f>
        <v>4</v>
      </c>
      <c r="J92" s="146">
        <f ca="1">IFERROR(__xludf.DUMMYFUNCTION("IMPORTRANGE(""https://docs.google.com/spreadsheets/d/1IYY_tgx_IHuhSq3AJ5eI5OnqOPBNLWSHKh2a30DoXe8/edit?usp=sharing"",""ชุมพร!J32"")"),4)</f>
        <v>4</v>
      </c>
      <c r="K92" s="147">
        <f t="shared" ref="K92:K93" ca="1" si="51">IF(I92&gt;0,J92*100/I92,0)</f>
        <v>100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IFERROR(__xludf.DUMMYFUNCTION("IMPORTRANGE(""https://docs.google.com/spreadsheets/d/1IYY_tgx_IHuhSq3AJ5eI5OnqOPBNLWSHKh2a30DoXe8/edit?usp=sharing"",""ชุมพร!I33"")"),1)</f>
        <v>1</v>
      </c>
      <c r="J93" s="146">
        <f ca="1">IFERROR(__xludf.DUMMYFUNCTION("IMPORTRANGE(""https://docs.google.com/spreadsheets/d/1IYY_tgx_IHuhSq3AJ5eI5OnqOPBNLWSHKh2a30DoXe8/edit?usp=sharing"",""ชุมพร!J33"")"),1)</f>
        <v>1</v>
      </c>
      <c r="K93" s="147">
        <f t="shared" ca="1" si="51"/>
        <v>100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2" t="s">
        <v>17</v>
      </c>
      <c r="E94" s="573"/>
      <c r="F94" s="573"/>
      <c r="G94" s="573"/>
      <c r="H94" s="153" t="s">
        <v>12</v>
      </c>
      <c r="I94" s="166"/>
      <c r="J94" s="166"/>
      <c r="K94" s="167"/>
      <c r="L94" s="156">
        <f t="shared" ref="L94:N94" ca="1" si="52">L95+L96</f>
        <v>214500</v>
      </c>
      <c r="M94" s="156">
        <f t="shared" ca="1" si="52"/>
        <v>214500</v>
      </c>
      <c r="N94" s="156">
        <f t="shared" ca="1" si="52"/>
        <v>175246</v>
      </c>
      <c r="O94" s="155">
        <f t="shared" ref="O94:O96" ca="1" si="53">IF(L94&gt;0,N94*100/L94,0)</f>
        <v>81.6997668997669</v>
      </c>
      <c r="P94" s="155">
        <f t="shared" ref="P94:P96" ca="1" si="54">IF(M94&gt;0,N94*100/M94,0)</f>
        <v>81.6997668997669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214500</v>
      </c>
      <c r="M96" s="161">
        <f t="shared" ca="1" si="56"/>
        <v>214500</v>
      </c>
      <c r="N96" s="161">
        <f t="shared" ca="1" si="56"/>
        <v>175246</v>
      </c>
      <c r="O96" s="160">
        <f t="shared" ca="1" si="53"/>
        <v>81.6997668997669</v>
      </c>
      <c r="P96" s="160">
        <f t="shared" ca="1" si="54"/>
        <v>81.6997668997669</v>
      </c>
    </row>
    <row r="97" spans="1:16" ht="21.75" customHeight="1" x14ac:dyDescent="0.3">
      <c r="A97" s="162"/>
      <c r="B97" s="163"/>
      <c r="C97" s="163" t="s">
        <v>16</v>
      </c>
      <c r="D97" s="574" t="s">
        <v>20</v>
      </c>
      <c r="E97" s="575"/>
      <c r="F97" s="575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122100</v>
      </c>
      <c r="M98" s="173">
        <f ca="1">IFERROR(__xludf.DUMMYFUNCTION("IMPORTRANGE(""https://docs.google.com/spreadsheets/d/1Yj_ptqi66GCucihVvJfMjLAmec39IyEx_6qawtMGysU/edit?usp=sharing"",""สบก!AR82"")"),122100)</f>
        <v>122100</v>
      </c>
      <c r="N98" s="174">
        <f ca="1">IFERROR(__xludf.DUMMYFUNCTION("IMPORTRANGE(""https://docs.google.com/spreadsheets/d/1Yj_ptqi66GCucihVvJfMjLAmec39IyEx_6qawtMGysU/edit?usp=sharing"",""สบก!AS82"")"),82846)</f>
        <v>82846</v>
      </c>
      <c r="O98" s="175">
        <f ca="1">IF(L98&gt;0,N98*100/L98,0)</f>
        <v>67.850941850941851</v>
      </c>
      <c r="P98" s="175">
        <f ca="1">IF(M98&gt;0,N98*100/M98,0)</f>
        <v>67.850941850941851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IFERROR(__xludf.DUMMYFUNCTION("IMPORTRANGE(""https://docs.google.com/spreadsheets/d/1Yj_ptqi66GCucihVvJfMjLAmec39IyEx_6qawtMGysU/edit?usp=sharing"",""สบก!AN82"")"),0)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IFERROR(__xludf.DUMMYFUNCTION("IMPORTRANGE(""https://docs.google.com/spreadsheets/d/1Yj_ptqi66GCucihVvJfMjLAmec39IyEx_6qawtMGysU/edit?usp=sharing"",""สบก!AO82"")"),122100)</f>
        <v>122100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6" t="s">
        <v>23</v>
      </c>
      <c r="E101" s="575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IFERROR(__xludf.DUMMYFUNCTION("IMPORTRANGE(""https://docs.google.com/spreadsheets/d/1Yj_ptqi66GCucihVvJfMjLAmec39IyEx_6qawtMGysU/edit?usp=sharing"",""สบก!AP82"")"),92400)</f>
        <v>92400</v>
      </c>
      <c r="M102" s="101">
        <f ca="1">L102</f>
        <v>92400</v>
      </c>
      <c r="N102" s="91">
        <f ca="1">IFERROR(__xludf.DUMMYFUNCTION("IMPORTRANGE(""https://docs.google.com/spreadsheets/d/1Yj_ptqi66GCucihVvJfMjLAmec39IyEx_6qawtMGysU/edit?usp=sharing"",""สบก!AT82"")"),92400)</f>
        <v>92400</v>
      </c>
      <c r="O102" s="101">
        <f ca="1">IF(L102&gt;0,N102*100/L102,0)</f>
        <v>100</v>
      </c>
      <c r="P102" s="101">
        <f ca="1">IF(M102&gt;0,N102*100/M102,0)</f>
        <v>100</v>
      </c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IFERROR(__xludf.DUMMYFUNCTION("IMPORTRANGE(""https://docs.google.com/spreadsheets/d/1IYY_tgx_IHuhSq3AJ5eI5OnqOPBNLWSHKh2a30DoXe8/edit?usp=sharing"",""ชุมพร!J39"")"),0)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IFERROR(__xludf.DUMMYFUNCTION("IMPORTRANGE(""https://docs.google.com/spreadsheets/d/1IYY_tgx_IHuhSq3AJ5eI5OnqOPBNLWSHKh2a30DoXe8/edit?usp=sharing"",""ชุมพร!J40"")"),1)</f>
        <v>1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IFERROR(__xludf.DUMMYFUNCTION("IMPORTRANGE(""https://docs.google.com/spreadsheets/d/1IYY_tgx_IHuhSq3AJ5eI5OnqOPBNLWSHKh2a30DoXe8/edit?usp=sharing"",""ชุมพร!J41"")"),1)</f>
        <v>1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IFERROR(__xludf.DUMMYFUNCTION("IMPORTRANGE(""https://docs.google.com/spreadsheets/d/1IYY_tgx_IHuhSq3AJ5eI5OnqOPBNLWSHKh2a30DoXe8/edit?usp=sharing"",""ชุมพร!J42"")"),1)</f>
        <v>1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IFERROR(__xludf.DUMMYFUNCTION("IMPORTRANGE(""https://docs.google.com/spreadsheets/d/1IYY_tgx_IHuhSq3AJ5eI5OnqOPBNLWSHKh2a30DoXe8/edit?usp=sharing"",""ชุมพร!I43"")"),1)</f>
        <v>1</v>
      </c>
      <c r="J108" s="210">
        <f ca="1">IFERROR(__xludf.DUMMYFUNCTION("IMPORTRANGE(""https://docs.google.com/spreadsheets/d/1IYY_tgx_IHuhSq3AJ5eI5OnqOPBNLWSHKh2a30DoXe8/edit?usp=sharing"",""ชุมพร!J43"")"),1)</f>
        <v>1</v>
      </c>
      <c r="K108" s="230">
        <f t="shared" ref="K108:K113" ca="1" si="57">IF(I108&gt;0,J108*100/I108,0)</f>
        <v>100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IFERROR(__xludf.DUMMYFUNCTION("IMPORTRANGE(""https://docs.google.com/spreadsheets/d/1IYY_tgx_IHuhSq3AJ5eI5OnqOPBNLWSHKh2a30DoXe8/edit?usp=sharing"",""ชุมพร!I44"")"),4)</f>
        <v>4</v>
      </c>
      <c r="J109" s="210">
        <f ca="1">IFERROR(__xludf.DUMMYFUNCTION("IMPORTRANGE(""https://docs.google.com/spreadsheets/d/1IYY_tgx_IHuhSq3AJ5eI5OnqOPBNLWSHKh2a30DoXe8/edit?usp=sharing"",""ชุมพร!J44"")"),4)</f>
        <v>4</v>
      </c>
      <c r="K109" s="230">
        <f t="shared" ca="1" si="57"/>
        <v>100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IFERROR(__xludf.DUMMYFUNCTION("IMPORTRANGE(""https://docs.google.com/spreadsheets/d/1IYY_tgx_IHuhSq3AJ5eI5OnqOPBNLWSHKh2a30DoXe8/edit?usp=sharing"",""ชุมพร!I45"")"),4)</f>
        <v>4</v>
      </c>
      <c r="J110" s="210">
        <f ca="1">IFERROR(__xludf.DUMMYFUNCTION("IMPORTRANGE(""https://docs.google.com/spreadsheets/d/1IYY_tgx_IHuhSq3AJ5eI5OnqOPBNLWSHKh2a30DoXe8/edit?usp=sharing"",""ชุมพร!J45"")"),4)</f>
        <v>4</v>
      </c>
      <c r="K110" s="230">
        <f t="shared" ca="1" si="57"/>
        <v>100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IFERROR(__xludf.DUMMYFUNCTION("IMPORTRANGE(""https://docs.google.com/spreadsheets/d/1IYY_tgx_IHuhSq3AJ5eI5OnqOPBNLWSHKh2a30DoXe8/edit?usp=sharing"",""ชุมพร!I46"")"),4)</f>
        <v>4</v>
      </c>
      <c r="J111" s="210">
        <f ca="1">IFERROR(__xludf.DUMMYFUNCTION("IMPORTRANGE(""https://docs.google.com/spreadsheets/d/1IYY_tgx_IHuhSq3AJ5eI5OnqOPBNLWSHKh2a30DoXe8/edit?usp=sharing"",""ชุมพร!J46"")"),4)</f>
        <v>4</v>
      </c>
      <c r="K111" s="230">
        <f t="shared" ca="1" si="57"/>
        <v>100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IFERROR(__xludf.DUMMYFUNCTION("IMPORTRANGE(""https://docs.google.com/spreadsheets/d/1IYY_tgx_IHuhSq3AJ5eI5OnqOPBNLWSHKh2a30DoXe8/edit?usp=sharing"",""ชุมพร!I47"")"),4)</f>
        <v>4</v>
      </c>
      <c r="J112" s="210">
        <f ca="1">IFERROR(__xludf.DUMMYFUNCTION("IMPORTRANGE(""https://docs.google.com/spreadsheets/d/1IYY_tgx_IHuhSq3AJ5eI5OnqOPBNLWSHKh2a30DoXe8/edit?usp=sharing"",""ชุมพร!J47"")"),4)</f>
        <v>4</v>
      </c>
      <c r="K112" s="230">
        <f t="shared" ca="1" si="57"/>
        <v>100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IFERROR(__xludf.DUMMYFUNCTION("IMPORTRANGE(""https://docs.google.com/spreadsheets/d/1IYY_tgx_IHuhSq3AJ5eI5OnqOPBNLWSHKh2a30DoXe8/edit?usp=sharing"",""ชุมพร!I48"")"),1)</f>
        <v>1</v>
      </c>
      <c r="J113" s="210">
        <f ca="1">IFERROR(__xludf.DUMMYFUNCTION("IMPORTRANGE(""https://docs.google.com/spreadsheets/d/1IYY_tgx_IHuhSq3AJ5eI5OnqOPBNLWSHKh2a30DoXe8/edit?usp=sharing"",""ชุมพร!J48"")"),1)</f>
        <v>1</v>
      </c>
      <c r="K113" s="230">
        <f t="shared" ca="1" si="57"/>
        <v>100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IFERROR(__xludf.DUMMYFUNCTION("IMPORTRANGE(""https://docs.google.com/spreadsheets/d/1IYY_tgx_IHuhSq3AJ5eI5OnqOPBNLWSHKh2a30DoXe8/edit?usp=sharing"",""ชุมพร!J49"")"),0)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IFERROR(__xludf.DUMMYFUNCTION("IMPORTRANGE(""https://docs.google.com/spreadsheets/d/1IYY_tgx_IHuhSq3AJ5eI5OnqOPBNLWSHKh2a30DoXe8/edit?usp=sharing"",""ชุมพร!J50"")"),0)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IFERROR(__xludf.DUMMYFUNCTION("IMPORTRANGE(""https://docs.google.com/spreadsheets/d/1IYY_tgx_IHuhSq3AJ5eI5OnqOPBNLWSHKh2a30DoXe8/edit?usp=sharing"",""ชุมพร!I52"")"),15)</f>
        <v>15</v>
      </c>
      <c r="J117" s="146">
        <f ca="1">IFERROR(__xludf.DUMMYFUNCTION("IMPORTRANGE(""https://docs.google.com/spreadsheets/d/1IYY_tgx_IHuhSq3AJ5eI5OnqOPBNLWSHKh2a30DoXe8/edit?usp=sharing"",""ชุมพร!J52"")"),15)</f>
        <v>15</v>
      </c>
      <c r="K117" s="147">
        <f ca="1">IF(I117&gt;0,J117*100/I117,0)</f>
        <v>100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2" t="s">
        <v>17</v>
      </c>
      <c r="E118" s="573"/>
      <c r="F118" s="573"/>
      <c r="G118" s="573"/>
      <c r="H118" s="153" t="s">
        <v>12</v>
      </c>
      <c r="I118" s="166"/>
      <c r="J118" s="166"/>
      <c r="K118" s="167"/>
      <c r="L118" s="156">
        <f t="shared" ref="L118:N118" ca="1" si="58">L119+L120</f>
        <v>73258</v>
      </c>
      <c r="M118" s="156">
        <f t="shared" ca="1" si="58"/>
        <v>73258</v>
      </c>
      <c r="N118" s="156">
        <f t="shared" ca="1" si="58"/>
        <v>69516.83</v>
      </c>
      <c r="O118" s="155">
        <f t="shared" ref="O118:O120" ca="1" si="59">IF(L118&gt;0,N118*100/L118,0)</f>
        <v>94.893158426383465</v>
      </c>
      <c r="P118" s="155">
        <f t="shared" ref="P118:P120" ca="1" si="60">IF(M118&gt;0,N118*100/M118,0)</f>
        <v>94.893158426383465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73258</v>
      </c>
      <c r="M120" s="161">
        <f t="shared" ca="1" si="62"/>
        <v>73258</v>
      </c>
      <c r="N120" s="161">
        <f t="shared" ca="1" si="62"/>
        <v>69516.83</v>
      </c>
      <c r="O120" s="160">
        <f t="shared" ca="1" si="59"/>
        <v>94.893158426383465</v>
      </c>
      <c r="P120" s="160">
        <f t="shared" ca="1" si="60"/>
        <v>94.893158426383465</v>
      </c>
    </row>
    <row r="121" spans="1:16" ht="21.75" customHeight="1" x14ac:dyDescent="0.3">
      <c r="A121" s="162"/>
      <c r="B121" s="163"/>
      <c r="C121" s="163" t="s">
        <v>16</v>
      </c>
      <c r="D121" s="574" t="s">
        <v>20</v>
      </c>
      <c r="E121" s="575"/>
      <c r="F121" s="575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73258</v>
      </c>
      <c r="M122" s="173">
        <f ca="1">IFERROR(__xludf.DUMMYFUNCTION("IMPORTRANGE(""https://docs.google.com/spreadsheets/d/1Yj_ptqi66GCucihVvJfMjLAmec39IyEx_6qawtMGysU/edit?usp=sharing"",""สบก!BA82"")"),73258)</f>
        <v>73258</v>
      </c>
      <c r="N122" s="174">
        <f ca="1">IFERROR(__xludf.DUMMYFUNCTION("IMPORTRANGE(""https://docs.google.com/spreadsheets/d/1Yj_ptqi66GCucihVvJfMjLAmec39IyEx_6qawtMGysU/edit?usp=sharing"",""สบก!BB82"")"),69516.83)</f>
        <v>69516.83</v>
      </c>
      <c r="O122" s="175">
        <f ca="1">IF(L122&gt;0,N122*100/L122,0)</f>
        <v>94.893158426383465</v>
      </c>
      <c r="P122" s="175">
        <f ca="1">IF(M122&gt;0,N122*100/M122,0)</f>
        <v>94.893158426383465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IFERROR(__xludf.DUMMYFUNCTION("IMPORTRANGE(""https://docs.google.com/spreadsheets/d/1Yj_ptqi66GCucihVvJfMjLAmec39IyEx_6qawtMGysU/edit?usp=sharing"",""สบก!AW82"")"),0)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IFERROR(__xludf.DUMMYFUNCTION("IMPORTRANGE(""https://docs.google.com/spreadsheets/d/1Yj_ptqi66GCucihVvJfMjLAmec39IyEx_6qawtMGysU/edit?usp=sharing"",""สบก!AX82"")"),73258)</f>
        <v>73258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6" t="s">
        <v>23</v>
      </c>
      <c r="E125" s="575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IFERROR(__xludf.DUMMYFUNCTION("IMPORTRANGE(""https://docs.google.com/spreadsheets/d/1Yj_ptqi66GCucihVvJfMjLAmec39IyEx_6qawtMGysU/edit?usp=sharing"",""สบก!AY82"")"),0)</f>
        <v>0</v>
      </c>
      <c r="M126" s="101"/>
      <c r="N126" s="91">
        <f ca="1">IFERROR(__xludf.DUMMYFUNCTION("IMPORTRANGE(""https://docs.google.com/spreadsheets/d/1Yj_ptqi66GCucihVvJfMjLAmec39IyEx_6qawtMGysU/edit?usp=sharing"",""สบก!BC82"")"),0)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263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IFERROR(__xludf.DUMMYFUNCTION("IMPORTRANGE(""https://docs.google.com/spreadsheets/d/1IYY_tgx_IHuhSq3AJ5eI5OnqOPBNLWSHKh2a30DoXe8/edit?usp=sharing"",""ชุมพร!J58"")"),0)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IFERROR(__xludf.DUMMYFUNCTION("IMPORTRANGE(""https://docs.google.com/spreadsheets/d/1IYY_tgx_IHuhSq3AJ5eI5OnqOPBNLWSHKh2a30DoXe8/edit?usp=sharing"",""ชุมพร!J59"")"),1)</f>
        <v>1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IFERROR(__xludf.DUMMYFUNCTION("IMPORTRANGE(""https://docs.google.com/spreadsheets/d/1IYY_tgx_IHuhSq3AJ5eI5OnqOPBNLWSHKh2a30DoXe8/edit?usp=sharing"",""ชุมพร!J60"")"),1)</f>
        <v>1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IFERROR(__xludf.DUMMYFUNCTION("IMPORTRANGE(""https://docs.google.com/spreadsheets/d/1IYY_tgx_IHuhSq3AJ5eI5OnqOPBNLWSHKh2a30DoXe8/edit?usp=sharing"",""ชุมพร!J61"")"),1)</f>
        <v>1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IFERROR(__xludf.DUMMYFUNCTION("IMPORTRANGE(""https://docs.google.com/spreadsheets/d/1IYY_tgx_IHuhSq3AJ5eI5OnqOPBNLWSHKh2a30DoXe8/edit?usp=sharing"",""ชุมพร!I62"")"),15)</f>
        <v>15</v>
      </c>
      <c r="J132" s="210">
        <f ca="1">IFERROR(__xludf.DUMMYFUNCTION("IMPORTRANGE(""https://docs.google.com/spreadsheets/d/1IYY_tgx_IHuhSq3AJ5eI5OnqOPBNLWSHKh2a30DoXe8/edit?usp=sharing"",""ชุมพร!J62"")"),15)</f>
        <v>15</v>
      </c>
      <c r="K132" s="230">
        <f t="shared" ref="K132:K133" ca="1" si="63">IF(I132&gt;0,J132*100/I132,0)</f>
        <v>100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IFERROR(__xludf.DUMMYFUNCTION("IMPORTRANGE(""https://docs.google.com/spreadsheets/d/1IYY_tgx_IHuhSq3AJ5eI5OnqOPBNLWSHKh2a30DoXe8/edit?usp=sharing"",""ชุมพร!I63"")"),15)</f>
        <v>15</v>
      </c>
      <c r="J133" s="210">
        <f ca="1">IFERROR(__xludf.DUMMYFUNCTION("IMPORTRANGE(""https://docs.google.com/spreadsheets/d/1IYY_tgx_IHuhSq3AJ5eI5OnqOPBNLWSHKh2a30DoXe8/edit?usp=sharing"",""ชุมพร!J63"")"),15)</f>
        <v>15</v>
      </c>
      <c r="K133" s="230">
        <f t="shared" ca="1" si="63"/>
        <v>100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IFERROR(__xludf.DUMMYFUNCTION("IMPORTRANGE(""https://docs.google.com/spreadsheets/d/1IYY_tgx_IHuhSq3AJ5eI5OnqOPBNLWSHKh2a30DoXe8/edit?usp=sharing"",""ชุมพร!J64"")"),0)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IFERROR(__xludf.DUMMYFUNCTION("IMPORTRANGE(""https://docs.google.com/spreadsheets/d/1IYY_tgx_IHuhSq3AJ5eI5OnqOPBNLWSHKh2a30DoXe8/edit?usp=sharing"",""ชุมพร!J65"")"),0)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IFERROR(__xludf.DUMMYFUNCTION("IMPORTRANGE(""https://docs.google.com/spreadsheets/d/1IYY_tgx_IHuhSq3AJ5eI5OnqOPBNLWSHKh2a30DoXe8/edit?usp=sharing"",""ชุมพร!I68"")"),15)</f>
        <v>15</v>
      </c>
      <c r="J138" s="273">
        <f ca="1">IFERROR(__xludf.DUMMYFUNCTION("IMPORTRANGE(""https://docs.google.com/spreadsheets/d/1IYY_tgx_IHuhSq3AJ5eI5OnqOPBNLWSHKh2a30DoXe8/edit?usp=sharing"",""ชุมพร!J68"")"),15)</f>
        <v>15</v>
      </c>
      <c r="K138" s="274">
        <f ca="1">IF(I138&gt;0,J138*100/I138,0)</f>
        <v>100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2" t="s">
        <v>17</v>
      </c>
      <c r="E140" s="573"/>
      <c r="F140" s="573"/>
      <c r="G140" s="573"/>
      <c r="H140" s="153" t="s">
        <v>12</v>
      </c>
      <c r="I140" s="166"/>
      <c r="J140" s="166"/>
      <c r="K140" s="167"/>
      <c r="L140" s="156">
        <f t="shared" ref="L140:N140" ca="1" si="64">L141+L142</f>
        <v>206500</v>
      </c>
      <c r="M140" s="156">
        <f t="shared" ca="1" si="64"/>
        <v>206500</v>
      </c>
      <c r="N140" s="156">
        <f t="shared" ca="1" si="64"/>
        <v>193665</v>
      </c>
      <c r="O140" s="155">
        <f t="shared" ref="O140:O142" ca="1" si="65">IF(L140&gt;0,N140*100/L140,0)</f>
        <v>93.784503631961257</v>
      </c>
      <c r="P140" s="155">
        <f t="shared" ref="P140:P142" ca="1" si="66">IF(M140&gt;0,N140*100/M140,0)</f>
        <v>93.784503631961257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206500</v>
      </c>
      <c r="M142" s="161">
        <f t="shared" ca="1" si="68"/>
        <v>206500</v>
      </c>
      <c r="N142" s="161">
        <f t="shared" ca="1" si="68"/>
        <v>193665</v>
      </c>
      <c r="O142" s="160">
        <f t="shared" ca="1" si="65"/>
        <v>93.784503631961257</v>
      </c>
      <c r="P142" s="160">
        <f t="shared" ca="1" si="66"/>
        <v>93.784503631961257</v>
      </c>
    </row>
    <row r="143" spans="1:16" ht="21.75" customHeight="1" x14ac:dyDescent="0.3">
      <c r="A143" s="162"/>
      <c r="B143" s="163"/>
      <c r="C143" s="163" t="s">
        <v>16</v>
      </c>
      <c r="D143" s="574" t="s">
        <v>20</v>
      </c>
      <c r="E143" s="575"/>
      <c r="F143" s="575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206500</v>
      </c>
      <c r="M144" s="173">
        <f ca="1">IFERROR(__xludf.DUMMYFUNCTION("IMPORTRANGE(""https://docs.google.com/spreadsheets/d/1Yj_ptqi66GCucihVvJfMjLAmec39IyEx_6qawtMGysU/edit?usp=sharing"",""สบก!BJ82"")"),206500)</f>
        <v>206500</v>
      </c>
      <c r="N144" s="174">
        <f ca="1">IFERROR(__xludf.DUMMYFUNCTION("IMPORTRANGE(""https://docs.google.com/spreadsheets/d/1Yj_ptqi66GCucihVvJfMjLAmec39IyEx_6qawtMGysU/edit?usp=sharing"",""สบก!BK82"")"),193665)</f>
        <v>193665</v>
      </c>
      <c r="O144" s="175">
        <f ca="1">IF(L144&gt;0,N144*100/L144,0)</f>
        <v>93.784503631961257</v>
      </c>
      <c r="P144" s="175">
        <f ca="1">IF(M144&gt;0,N144*100/M144,0)</f>
        <v>93.784503631961257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IFERROR(__xludf.DUMMYFUNCTION("IMPORTRANGE(""https://docs.google.com/spreadsheets/d/1Yj_ptqi66GCucihVvJfMjLAmec39IyEx_6qawtMGysU/edit?usp=sharing"",""สบก!BF82"")"),132000)</f>
        <v>132000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IFERROR(__xludf.DUMMYFUNCTION("IMPORTRANGE(""https://docs.google.com/spreadsheets/d/1Yj_ptqi66GCucihVvJfMjLAmec39IyEx_6qawtMGysU/edit?usp=sharing"",""สบก!BG82"")"),74500)</f>
        <v>74500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6" t="s">
        <v>23</v>
      </c>
      <c r="E147" s="575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IFERROR(__xludf.DUMMYFUNCTION("IMPORTRANGE(""https://docs.google.com/spreadsheets/d/1Yj_ptqi66GCucihVvJfMjLAmec39IyEx_6qawtMGysU/edit?usp=sharing"",""สบก!BH82"")"),0)</f>
        <v>0</v>
      </c>
      <c r="M148" s="101"/>
      <c r="N148" s="91">
        <f ca="1">IFERROR(__xludf.DUMMYFUNCTION("IMPORTRANGE(""https://docs.google.com/spreadsheets/d/1Yj_ptqi66GCucihVvJfMjLAmec39IyEx_6qawtMGysU/edit?usp=sharing"",""สบก!BL82"")"),0)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IFERROR(__xludf.DUMMYFUNCTION("IMPORTRANGE(""https://docs.google.com/spreadsheets/d/1IYY_tgx_IHuhSq3AJ5eI5OnqOPBNLWSHKh2a30DoXe8/edit?usp=sharing"",""ชุมพร!I74"")"),4)</f>
        <v>4</v>
      </c>
      <c r="J149" s="281">
        <f ca="1">IFERROR(__xludf.DUMMYFUNCTION("IMPORTRANGE(""https://docs.google.com/spreadsheets/d/1IYY_tgx_IHuhSq3AJ5eI5OnqOPBNLWSHKh2a30DoXe8/edit?usp=sharing"",""ชุมพร!J74"")"),4)</f>
        <v>4</v>
      </c>
      <c r="K149" s="282">
        <f ca="1">IF(I149&gt;0,J149*100/I149,0)</f>
        <v>100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IFERROR(__xludf.DUMMYFUNCTION("IMPORTRANGE(""https://docs.google.com/spreadsheets/d/1IYY_tgx_IHuhSq3AJ5eI5OnqOPBNLWSHKh2a30DoXe8/edit?usp=sharing"",""ชุมพร!J79"")"),0)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IFERROR(__xludf.DUMMYFUNCTION("IMPORTRANGE(""https://docs.google.com/spreadsheets/d/1IYY_tgx_IHuhSq3AJ5eI5OnqOPBNLWSHKh2a30DoXe8/edit?usp=sharing"",""ชุมพร!J80"")"),1)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IFERROR(__xludf.DUMMYFUNCTION("IMPORTRANGE(""https://docs.google.com/spreadsheets/d/1IYY_tgx_IHuhSq3AJ5eI5OnqOPBNLWSHKh2a30DoXe8/edit?usp=sharing"",""ชุมพร!J81"")"),1)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IFERROR(__xludf.DUMMYFUNCTION("IMPORTRANGE(""https://docs.google.com/spreadsheets/d/1IYY_tgx_IHuhSq3AJ5eI5OnqOPBNLWSHKh2a30DoXe8/edit?usp=sharing"",""ชุมพร!J82"")"),1)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IFERROR(__xludf.DUMMYFUNCTION("IMPORTRANGE(""https://docs.google.com/spreadsheets/d/1IYY_tgx_IHuhSq3AJ5eI5OnqOPBNLWSHKh2a30DoXe8/edit?usp=sharing"",""ชุมพร!I83"")"),4)</f>
        <v>4</v>
      </c>
      <c r="J158" s="195">
        <f ca="1">IFERROR(__xludf.DUMMYFUNCTION("IMPORTRANGE(""https://docs.google.com/spreadsheets/d/1IYY_tgx_IHuhSq3AJ5eI5OnqOPBNLWSHKh2a30DoXe8/edit?usp=sharing"",""ชุมพร!J83"")"),4)</f>
        <v>4</v>
      </c>
      <c r="K158" s="167">
        <f ca="1">IF(I158&gt;0,J158*100/I158,0)</f>
        <v>100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IFERROR(__xludf.DUMMYFUNCTION("IMPORTRANGE(""https://docs.google.com/spreadsheets/d/1IYY_tgx_IHuhSq3AJ5eI5OnqOPBNLWSHKh2a30DoXe8/edit?usp=sharing"",""ชุมพร!J84"")"),120)</f>
        <v>120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IFERROR(__xludf.DUMMYFUNCTION("IMPORTRANGE(""https://docs.google.com/spreadsheets/d/1IYY_tgx_IHuhSq3AJ5eI5OnqOPBNLWSHKh2a30DoXe8/edit?usp=sharing"",""ชุมพร!J85"")"),120)</f>
        <v>120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IFERROR(__xludf.DUMMYFUNCTION("IMPORTRANGE(""https://docs.google.com/spreadsheets/d/1IYY_tgx_IHuhSq3AJ5eI5OnqOPBNLWSHKh2a30DoXe8/edit?usp=sharing"",""ชุมพร!J86"")"),0)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IFERROR(__xludf.DUMMYFUNCTION("IMPORTRANGE(""https://docs.google.com/spreadsheets/d/1IYY_tgx_IHuhSq3AJ5eI5OnqOPBNLWSHKh2a30DoXe8/edit?usp=sharing"",""ชุมพร!J87"")"),0)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IFERROR(__xludf.DUMMYFUNCTION("IMPORTRANGE(""https://docs.google.com/spreadsheets/d/1IYY_tgx_IHuhSq3AJ5eI5OnqOPBNLWSHKh2a30DoXe8/edit?usp=sharing"",""ชุมพร!J88"")"),0)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IFERROR(__xludf.DUMMYFUNCTION("IMPORTRANGE(""https://docs.google.com/spreadsheets/d/1IYY_tgx_IHuhSq3AJ5eI5OnqOPBNLWSHKh2a30DoXe8/edit?usp=sharing"",""ชุมพร!I89"")"),2)</f>
        <v>2</v>
      </c>
      <c r="J164" s="290">
        <f ca="1">IFERROR(__xludf.DUMMYFUNCTION("IMPORTRANGE(""https://docs.google.com/spreadsheets/d/1IYY_tgx_IHuhSq3AJ5eI5OnqOPBNLWSHKh2a30DoXe8/edit?usp=sharing"",""ชุมพร!J89"")"),2)</f>
        <v>2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IFERROR(__xludf.DUMMYFUNCTION("IMPORTRANGE(""https://docs.google.com/spreadsheets/d/1IYY_tgx_IHuhSq3AJ5eI5OnqOPBNLWSHKh2a30DoXe8/edit?usp=sharing"",""ชุมพร!J94"")"),0)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IFERROR(__xludf.DUMMYFUNCTION("IMPORTRANGE(""https://docs.google.com/spreadsheets/d/1IYY_tgx_IHuhSq3AJ5eI5OnqOPBNLWSHKh2a30DoXe8/edit?usp=sharing"",""ชุมพร!J95"")"),1)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IFERROR(__xludf.DUMMYFUNCTION("IMPORTRANGE(""https://docs.google.com/spreadsheets/d/1IYY_tgx_IHuhSq3AJ5eI5OnqOPBNLWSHKh2a30DoXe8/edit?usp=sharing"",""ชุมพร!J96"")"),1)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IFERROR(__xludf.DUMMYFUNCTION("IMPORTRANGE(""https://docs.google.com/spreadsheets/d/1IYY_tgx_IHuhSq3AJ5eI5OnqOPBNLWSHKh2a30DoXe8/edit?usp=sharing"",""ชุมพร!J97"")"),1)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IFERROR(__xludf.DUMMYFUNCTION("IMPORTRANGE(""https://docs.google.com/spreadsheets/d/1IYY_tgx_IHuhSq3AJ5eI5OnqOPBNLWSHKh2a30DoXe8/edit?usp=sharing"",""ชุมพร!I98"")"),2)</f>
        <v>2</v>
      </c>
      <c r="J173" s="195">
        <f ca="1">IFERROR(__xludf.DUMMYFUNCTION("IMPORTRANGE(""https://docs.google.com/spreadsheets/d/1IYY_tgx_IHuhSq3AJ5eI5OnqOPBNLWSHKh2a30DoXe8/edit?usp=sharing"",""ชุมพร!J98"")"),2)</f>
        <v>2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IFERROR(__xludf.DUMMYFUNCTION("IMPORTRANGE(""https://docs.google.com/spreadsheets/d/1IYY_tgx_IHuhSq3AJ5eI5OnqOPBNLWSHKh2a30DoXe8/edit?usp=sharing"",""ชุมพร!J99"")"),0)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IFERROR(__xludf.DUMMYFUNCTION("IMPORTRANGE(""https://docs.google.com/spreadsheets/d/1IYY_tgx_IHuhSq3AJ5eI5OnqOPBNLWSHKh2a30DoXe8/edit?usp=sharing"",""ชุมพร!J100"")"),0)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IFERROR(__xludf.DUMMYFUNCTION("IMPORTRANGE(""https://docs.google.com/spreadsheets/d/1IYY_tgx_IHuhSq3AJ5eI5OnqOPBNLWSHKh2a30DoXe8/edit?usp=sharing"",""ชุมพร!I101"")"),1)</f>
        <v>1</v>
      </c>
      <c r="J176" s="290">
        <f ca="1">IFERROR(__xludf.DUMMYFUNCTION("IMPORTRANGE(""https://docs.google.com/spreadsheets/d/1IYY_tgx_IHuhSq3AJ5eI5OnqOPBNLWSHKh2a30DoXe8/edit?usp=sharing"",""ชุมพร!J101"")"),1)</f>
        <v>1</v>
      </c>
      <c r="K176" s="291">
        <f ca="1">IF(I176&gt;0,J176*100/I176,0)</f>
        <v>100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IFERROR(__xludf.DUMMYFUNCTION("IMPORTRANGE(""https://docs.google.com/spreadsheets/d/1IYY_tgx_IHuhSq3AJ5eI5OnqOPBNLWSHKh2a30DoXe8/edit?usp=sharing"",""ชุมพร!J106"")"),0)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IFERROR(__xludf.DUMMYFUNCTION("IMPORTRANGE(""https://docs.google.com/spreadsheets/d/1IYY_tgx_IHuhSq3AJ5eI5OnqOPBNLWSHKh2a30DoXe8/edit?usp=sharing"",""ชุมพร!J107"")"),1)</f>
        <v>1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IFERROR(__xludf.DUMMYFUNCTION("IMPORTRANGE(""https://docs.google.com/spreadsheets/d/1IYY_tgx_IHuhSq3AJ5eI5OnqOPBNLWSHKh2a30DoXe8/edit?usp=sharing"",""ชุมพร!J108"")"),1)</f>
        <v>1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IFERROR(__xludf.DUMMYFUNCTION("IMPORTRANGE(""https://docs.google.com/spreadsheets/d/1IYY_tgx_IHuhSq3AJ5eI5OnqOPBNLWSHKh2a30DoXe8/edit?usp=sharing"",""ชุมพร!J109"")"),1)</f>
        <v>1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IFERROR(__xludf.DUMMYFUNCTION("IMPORTRANGE(""https://docs.google.com/spreadsheets/d/1IYY_tgx_IHuhSq3AJ5eI5OnqOPBNLWSHKh2a30DoXe8/edit?usp=sharing"",""ชุมพร!I110"")"),1)</f>
        <v>1</v>
      </c>
      <c r="J185" s="210">
        <f ca="1">IFERROR(__xludf.DUMMYFUNCTION("IMPORTRANGE(""https://docs.google.com/spreadsheets/d/1IYY_tgx_IHuhSq3AJ5eI5OnqOPBNLWSHKh2a30DoXe8/edit?usp=sharing"",""ชุมพร!J110"")"),1)</f>
        <v>1</v>
      </c>
      <c r="K185" s="230">
        <f t="shared" ref="K185:K186" ca="1" si="69">IF(I185&gt;0,J185*100/I185,0)</f>
        <v>100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IFERROR(__xludf.DUMMYFUNCTION("IMPORTRANGE(""https://docs.google.com/spreadsheets/d/1IYY_tgx_IHuhSq3AJ5eI5OnqOPBNLWSHKh2a30DoXe8/edit?usp=sharing"",""ชุมพร!I111"")"),1)</f>
        <v>1</v>
      </c>
      <c r="J186" s="210">
        <f ca="1">IFERROR(__xludf.DUMMYFUNCTION("IMPORTRANGE(""https://docs.google.com/spreadsheets/d/1IYY_tgx_IHuhSq3AJ5eI5OnqOPBNLWSHKh2a30DoXe8/edit?usp=sharing"",""ชุมพร!J111"")"),1)</f>
        <v>1</v>
      </c>
      <c r="K186" s="230">
        <f t="shared" ca="1" si="69"/>
        <v>100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IFERROR(__xludf.DUMMYFUNCTION("IMPORTRANGE(""https://docs.google.com/spreadsheets/d/1IYY_tgx_IHuhSq3AJ5eI5OnqOPBNLWSHKh2a30DoXe8/edit?usp=sharing"",""ชุมพร!J112"")"),0)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IFERROR(__xludf.DUMMYFUNCTION("IMPORTRANGE(""https://docs.google.com/spreadsheets/d/1IYY_tgx_IHuhSq3AJ5eI5OnqOPBNLWSHKh2a30DoXe8/edit?usp=sharing"",""ชุมพร!J113"")"),0)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IFERROR(__xludf.DUMMYFUNCTION("IMPORTRANGE(""https://docs.google.com/spreadsheets/d/1IYY_tgx_IHuhSq3AJ5eI5OnqOPBNLWSHKh2a30DoXe8/edit?usp=sharing"",""ชุมพร!I114"")"),20000)</f>
        <v>20000</v>
      </c>
      <c r="J189" s="290">
        <f ca="1">IFERROR(__xludf.DUMMYFUNCTION("IMPORTRANGE(""https://docs.google.com/spreadsheets/d/1IYY_tgx_IHuhSq3AJ5eI5OnqOPBNLWSHKh2a30DoXe8/edit?usp=sharing"",""ชุมพร!J114"")"),30000)</f>
        <v>30000</v>
      </c>
      <c r="K189" s="291">
        <f ca="1">IF(I189&gt;0,J189*100/I189,0)</f>
        <v>150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IFERROR(__xludf.DUMMYFUNCTION("IMPORTRANGE(""https://docs.google.com/spreadsheets/d/1IYY_tgx_IHuhSq3AJ5eI5OnqOPBNLWSHKh2a30DoXe8/edit?usp=sharing"",""ชุมพร!J119"")"),0)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IFERROR(__xludf.DUMMYFUNCTION("IMPORTRANGE(""https://docs.google.com/spreadsheets/d/1IYY_tgx_IHuhSq3AJ5eI5OnqOPBNLWSHKh2a30DoXe8/edit?usp=sharing"",""ชุมพร!J120"")"),1)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IFERROR(__xludf.DUMMYFUNCTION("IMPORTRANGE(""https://docs.google.com/spreadsheets/d/1IYY_tgx_IHuhSq3AJ5eI5OnqOPBNLWSHKh2a30DoXe8/edit?usp=sharing"",""ชุมพร!J121"")"),1)</f>
        <v>1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IFERROR(__xludf.DUMMYFUNCTION("IMPORTRANGE(""https://docs.google.com/spreadsheets/d/1IYY_tgx_IHuhSq3AJ5eI5OnqOPBNLWSHKh2a30DoXe8/edit?usp=sharing"",""ชุมพร!J122"")"),1)</f>
        <v>1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IFERROR(__xludf.DUMMYFUNCTION("IMPORTRANGE(""https://docs.google.com/spreadsheets/d/1IYY_tgx_IHuhSq3AJ5eI5OnqOPBNLWSHKh2a30DoXe8/edit?usp=sharing"",""ชุมพร!I124"")"),20000)</f>
        <v>20000</v>
      </c>
      <c r="J199" s="195">
        <f ca="1">IFERROR(__xludf.DUMMYFUNCTION("IMPORTRANGE(""https://docs.google.com/spreadsheets/d/1IYY_tgx_IHuhSq3AJ5eI5OnqOPBNLWSHKh2a30DoXe8/edit?usp=sharing"",""ชุมพร!J124"")"),30000)</f>
        <v>30000</v>
      </c>
      <c r="K199" s="167">
        <f t="shared" ref="K199:K201" ca="1" si="70">IF(I199&gt;0,J199*100/I199,0)</f>
        <v>150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IFERROR(__xludf.DUMMYFUNCTION("IMPORTRANGE(""https://docs.google.com/spreadsheets/d/1IYY_tgx_IHuhSq3AJ5eI5OnqOPBNLWSHKh2a30DoXe8/edit?usp=sharing"",""ชุมพร!I125"")"),20000)</f>
        <v>20000</v>
      </c>
      <c r="J200" s="195">
        <f ca="1">IFERROR(__xludf.DUMMYFUNCTION("IMPORTRANGE(""https://docs.google.com/spreadsheets/d/1IYY_tgx_IHuhSq3AJ5eI5OnqOPBNLWSHKh2a30DoXe8/edit?usp=sharing"",""ชุมพร!J125"")"),30000)</f>
        <v>30000</v>
      </c>
      <c r="K200" s="167">
        <f t="shared" ca="1" si="70"/>
        <v>150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IFERROR(__xludf.DUMMYFUNCTION("IMPORTRANGE(""https://docs.google.com/spreadsheets/d/1IYY_tgx_IHuhSq3AJ5eI5OnqOPBNLWSHKh2a30DoXe8/edit?usp=sharing"",""ชุมพร!I126"")"),15)</f>
        <v>15</v>
      </c>
      <c r="J201" s="195">
        <f ca="1">IFERROR(__xludf.DUMMYFUNCTION("IMPORTRANGE(""https://docs.google.com/spreadsheets/d/1IYY_tgx_IHuhSq3AJ5eI5OnqOPBNLWSHKh2a30DoXe8/edit?usp=sharing"",""ชุมพร!J126"")"),15)</f>
        <v>15</v>
      </c>
      <c r="K201" s="167">
        <f t="shared" ca="1" si="70"/>
        <v>100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IFERROR(__xludf.DUMMYFUNCTION("IMPORTRANGE(""https://docs.google.com/spreadsheets/d/1IYY_tgx_IHuhSq3AJ5eI5OnqOPBNLWSHKh2a30DoXe8/edit?usp=sharing"",""ชุมพร!J127"")"),0)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IFERROR(__xludf.DUMMYFUNCTION("IMPORTRANGE(""https://docs.google.com/spreadsheets/d/1IYY_tgx_IHuhSq3AJ5eI5OnqOPBNLWSHKh2a30DoXe8/edit?usp=sharing"",""ชุมพร!J128"")"),0)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IFERROR(__xludf.DUMMYFUNCTION("IMPORTRANGE(""https://docs.google.com/spreadsheets/d/1IYY_tgx_IHuhSq3AJ5eI5OnqOPBNLWSHKh2a30DoXe8/edit?usp=sharing"",""ชุมพร!I129"")"),0)</f>
        <v>0</v>
      </c>
      <c r="J204" s="290">
        <f ca="1">IFERROR(__xludf.DUMMYFUNCTION("IMPORTRANGE(""https://docs.google.com/spreadsheets/d/1IYY_tgx_IHuhSq3AJ5eI5OnqOPBNLWSHKh2a30DoXe8/edit?usp=sharing"",""ชุมพร!J129"")"),0)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IFERROR(__xludf.DUMMYFUNCTION("IMPORTRANGE(""https://docs.google.com/spreadsheets/d/1IYY_tgx_IHuhSq3AJ5eI5OnqOPBNLWSHKh2a30DoXe8/edit?usp=sharing"",""ชุมพร!J134"")"),0)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IFERROR(__xludf.DUMMYFUNCTION("IMPORTRANGE(""https://docs.google.com/spreadsheets/d/1IYY_tgx_IHuhSq3AJ5eI5OnqOPBNLWSHKh2a30DoXe8/edit?usp=sharing"",""ชุมพร!J135"")"),0)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IFERROR(__xludf.DUMMYFUNCTION("IMPORTRANGE(""https://docs.google.com/spreadsheets/d/1IYY_tgx_IHuhSq3AJ5eI5OnqOPBNLWSHKh2a30DoXe8/edit?usp=sharing"",""ชุมพร!J136"")"),0)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IFERROR(__xludf.DUMMYFUNCTION("IMPORTRANGE(""https://docs.google.com/spreadsheets/d/1IYY_tgx_IHuhSq3AJ5eI5OnqOPBNLWSHKh2a30DoXe8/edit?usp=sharing"",""ชุมพร!J137"")"),0)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IFERROR(__xludf.DUMMYFUNCTION("IMPORTRANGE(""https://docs.google.com/spreadsheets/d/1IYY_tgx_IHuhSq3AJ5eI5OnqOPBNLWSHKh2a30DoXe8/edit?usp=sharing"",""ชุมพร!I138"")"),0)</f>
        <v>0</v>
      </c>
      <c r="J213" s="210">
        <f ca="1">IFERROR(__xludf.DUMMYFUNCTION("IMPORTRANGE(""https://docs.google.com/spreadsheets/d/1IYY_tgx_IHuhSq3AJ5eI5OnqOPBNLWSHKh2a30DoXe8/edit?usp=sharing"",""ชุมพร!J138"")"),0)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IFERROR(__xludf.DUMMYFUNCTION("IMPORTRANGE(""https://docs.google.com/spreadsheets/d/1IYY_tgx_IHuhSq3AJ5eI5OnqOPBNLWSHKh2a30DoXe8/edit?usp=sharing"",""ชุมพร!I140"")"),0)</f>
        <v>0</v>
      </c>
      <c r="J215" s="210">
        <f ca="1">IFERROR(__xludf.DUMMYFUNCTION("IMPORTRANGE(""https://docs.google.com/spreadsheets/d/1IYY_tgx_IHuhSq3AJ5eI5OnqOPBNLWSHKh2a30DoXe8/edit?usp=sharing"",""ชุมพร!J140"")"),0)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IFERROR(__xludf.DUMMYFUNCTION("IMPORTRANGE(""https://docs.google.com/spreadsheets/d/1IYY_tgx_IHuhSq3AJ5eI5OnqOPBNLWSHKh2a30DoXe8/edit?usp=sharing"",""ชุมพร!I141"")"),0)</f>
        <v>0</v>
      </c>
      <c r="J216" s="210">
        <f ca="1">IFERROR(__xludf.DUMMYFUNCTION("IMPORTRANGE(""https://docs.google.com/spreadsheets/d/1IYY_tgx_IHuhSq3AJ5eI5OnqOPBNLWSHKh2a30DoXe8/edit?usp=sharing"",""ชุมพร!J141"")"),0)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IFERROR(__xludf.DUMMYFUNCTION("IMPORTRANGE(""https://docs.google.com/spreadsheets/d/1IYY_tgx_IHuhSq3AJ5eI5OnqOPBNLWSHKh2a30DoXe8/edit?usp=sharing"",""ชุมพร!J142"")"),0)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IFERROR(__xludf.DUMMYFUNCTION("IMPORTRANGE(""https://docs.google.com/spreadsheets/d/1IYY_tgx_IHuhSq3AJ5eI5OnqOPBNLWSHKh2a30DoXe8/edit?usp=sharing"",""ชุมพร!J143"")"),0)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IFERROR(__xludf.DUMMYFUNCTION("IMPORTRANGE(""https://docs.google.com/spreadsheets/d/1IYY_tgx_IHuhSq3AJ5eI5OnqOPBNLWSHKh2a30DoXe8/edit?usp=sharing"",""ชุมพร!I144"")"),0)</f>
        <v>0</v>
      </c>
      <c r="J219" s="273">
        <f ca="1">IFERROR(__xludf.DUMMYFUNCTION("IMPORTRANGE(""https://docs.google.com/spreadsheets/d/1IYY_tgx_IHuhSq3AJ5eI5OnqOPBNLWSHKh2a30DoXe8/edit?usp=sharing"",""ชุมพร!J144"")"),0)</f>
        <v>0</v>
      </c>
      <c r="K219" s="274">
        <f ca="1">IF(I219&gt;0,J219*100/I219,0)</f>
        <v>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2" t="s">
        <v>17</v>
      </c>
      <c r="E220" s="573"/>
      <c r="F220" s="573"/>
      <c r="G220" s="573"/>
      <c r="H220" s="153" t="s">
        <v>12</v>
      </c>
      <c r="I220" s="166"/>
      <c r="J220" s="166"/>
      <c r="K220" s="167"/>
      <c r="L220" s="156">
        <f t="shared" ref="L220:N220" ca="1" si="72">L221+L222</f>
        <v>0</v>
      </c>
      <c r="M220" s="156">
        <f t="shared" ca="1" si="72"/>
        <v>0</v>
      </c>
      <c r="N220" s="156">
        <f t="shared" ca="1" si="72"/>
        <v>0</v>
      </c>
      <c r="O220" s="155">
        <f t="shared" ref="O220:O222" ca="1" si="73">IF(L220&gt;0,N220*100/L220,0)</f>
        <v>0</v>
      </c>
      <c r="P220" s="155">
        <f t="shared" ref="P220:P222" ca="1" si="74">IF(M220&gt;0,N220*100/M220,0)</f>
        <v>0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0</v>
      </c>
      <c r="M222" s="161">
        <f t="shared" ca="1" si="76"/>
        <v>0</v>
      </c>
      <c r="N222" s="161">
        <f t="shared" ca="1" si="76"/>
        <v>0</v>
      </c>
      <c r="O222" s="160">
        <f t="shared" ca="1" si="73"/>
        <v>0</v>
      </c>
      <c r="P222" s="160">
        <f t="shared" ca="1" si="74"/>
        <v>0</v>
      </c>
    </row>
    <row r="223" spans="1:16" ht="21.75" customHeight="1" x14ac:dyDescent="0.3">
      <c r="A223" s="162"/>
      <c r="B223" s="163"/>
      <c r="C223" s="163" t="s">
        <v>16</v>
      </c>
      <c r="D223" s="574" t="s">
        <v>20</v>
      </c>
      <c r="E223" s="575"/>
      <c r="F223" s="575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0</v>
      </c>
      <c r="M224" s="173">
        <f ca="1">IFERROR(__xludf.DUMMYFUNCTION("IMPORTRANGE(""https://docs.google.com/spreadsheets/d/1Yj_ptqi66GCucihVvJfMjLAmec39IyEx_6qawtMGysU/edit?usp=sharing"",""สบก!BS82"")"),0)</f>
        <v>0</v>
      </c>
      <c r="N224" s="174">
        <f ca="1">IFERROR(__xludf.DUMMYFUNCTION("IMPORTRANGE(""https://docs.google.com/spreadsheets/d/1Yj_ptqi66GCucihVvJfMjLAmec39IyEx_6qawtMGysU/edit?usp=sharing"",""สบก!BT82"")"),0)</f>
        <v>0</v>
      </c>
      <c r="O224" s="175">
        <f ca="1">IF(L224&gt;0,N224*100/L224,0)</f>
        <v>0</v>
      </c>
      <c r="P224" s="175">
        <f ca="1">IF(M224&gt;0,N224*100/M224,0)</f>
        <v>0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IFERROR(__xludf.DUMMYFUNCTION("IMPORTRANGE(""https://docs.google.com/spreadsheets/d/1Yj_ptqi66GCucihVvJfMjLAmec39IyEx_6qawtMGysU/edit?usp=sharing"",""สบก!BO82"")"),0)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IFERROR(__xludf.DUMMYFUNCTION("IMPORTRANGE(""https://docs.google.com/spreadsheets/d/1Yj_ptqi66GCucihVvJfMjLAmec39IyEx_6qawtMGysU/edit?usp=sharing"",""สบก!BP82"")"),0)</f>
        <v>0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6" t="s">
        <v>23</v>
      </c>
      <c r="E227" s="575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IFERROR(__xludf.DUMMYFUNCTION("IMPORTRANGE(""https://docs.google.com/spreadsheets/d/1Yj_ptqi66GCucihVvJfMjLAmec39IyEx_6qawtMGysU/edit?usp=sharing"",""สบก!BQ82"")"),0)</f>
        <v>0</v>
      </c>
      <c r="M228" s="101"/>
      <c r="N228" s="91">
        <f ca="1">IFERROR(__xludf.DUMMYFUNCTION("IMPORTRANGE(""https://docs.google.com/spreadsheets/d/1Yj_ptqi66GCucihVvJfMjLAmec39IyEx_6qawtMGysU/edit?usp=sharing"",""สบก!BU82"")"),0)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IFERROR(__xludf.DUMMYFUNCTION("IMPORTRANGE(""https://docs.google.com/spreadsheets/d/1IYY_tgx_IHuhSq3AJ5eI5OnqOPBNLWSHKh2a30DoXe8/edit?usp=sharing"",""ชุมพร!I149"")"),0)</f>
        <v>0</v>
      </c>
      <c r="J229" s="273">
        <f ca="1">IFERROR(__xludf.DUMMYFUNCTION("IMPORTRANGE(""https://docs.google.com/spreadsheets/d/1IYY_tgx_IHuhSq3AJ5eI5OnqOPBNLWSHKh2a30DoXe8/edit?usp=sharing"",""ชุมพร!J149"")"),0)</f>
        <v>0</v>
      </c>
      <c r="K229" s="274">
        <f ca="1">IF(I229&gt;0,J229*100/I229,0)</f>
        <v>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IFERROR(__xludf.DUMMYFUNCTION("IMPORTRANGE(""https://docs.google.com/spreadsheets/d/1IYY_tgx_IHuhSq3AJ5eI5OnqOPBNLWSHKh2a30DoXe8/edit?usp=sharing"",""ชุมพร!J151"")"),0)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IFERROR(__xludf.DUMMYFUNCTION("IMPORTRANGE(""https://docs.google.com/spreadsheets/d/1IYY_tgx_IHuhSq3AJ5eI5OnqOPBNLWSHKh2a30DoXe8/edit?usp=sharing"",""ชุมพร!J152"")"),0)</f>
        <v>0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IFERROR(__xludf.DUMMYFUNCTION("IMPORTRANGE(""https://docs.google.com/spreadsheets/d/1IYY_tgx_IHuhSq3AJ5eI5OnqOPBNLWSHKh2a30DoXe8/edit?usp=sharing"",""ชุมพร!J153"")"),0)</f>
        <v>0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IFERROR(__xludf.DUMMYFUNCTION("IMPORTRANGE(""https://docs.google.com/spreadsheets/d/1IYY_tgx_IHuhSq3AJ5eI5OnqOPBNLWSHKh2a30DoXe8/edit?usp=sharing"",""ชุมพร!J154"")"),0)</f>
        <v>0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IFERROR(__xludf.DUMMYFUNCTION("IMPORTRANGE(""https://docs.google.com/spreadsheets/d/1IYY_tgx_IHuhSq3AJ5eI5OnqOPBNLWSHKh2a30DoXe8/edit?usp=sharing"",""ชุมพร!I155"")"),0)</f>
        <v>0</v>
      </c>
      <c r="J235" s="195">
        <f ca="1">IFERROR(__xludf.DUMMYFUNCTION("IMPORTRANGE(""https://docs.google.com/spreadsheets/d/1IYY_tgx_IHuhSq3AJ5eI5OnqOPBNLWSHKh2a30DoXe8/edit?usp=sharing"",""ชุมพร!J155"")"),0)</f>
        <v>0</v>
      </c>
      <c r="K235" s="167">
        <f ca="1">IF(I235&gt;0,J235*100/I235,0)</f>
        <v>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IFERROR(__xludf.DUMMYFUNCTION("IMPORTRANGE(""https://docs.google.com/spreadsheets/d/1IYY_tgx_IHuhSq3AJ5eI5OnqOPBNLWSHKh2a30DoXe8/edit?usp=sharing"",""ชุมพร!J156"")"),0)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IFERROR(__xludf.DUMMYFUNCTION("IMPORTRANGE(""https://docs.google.com/spreadsheets/d/1IYY_tgx_IHuhSq3AJ5eI5OnqOPBNLWSHKh2a30DoXe8/edit?usp=sharing"",""ชุมพร!J157"")"),0)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IFERROR(__xludf.DUMMYFUNCTION("IMPORTRANGE(""https://docs.google.com/spreadsheets/d/1IYY_tgx_IHuhSq3AJ5eI5OnqOPBNLWSHKh2a30DoXe8/edit?usp=sharing"",""ชุมพร!I158"")"),0)</f>
        <v>0</v>
      </c>
      <c r="J238" s="273">
        <f ca="1">IFERROR(__xludf.DUMMYFUNCTION("IMPORTRANGE(""https://docs.google.com/spreadsheets/d/1IYY_tgx_IHuhSq3AJ5eI5OnqOPBNLWSHKh2a30DoXe8/edit?usp=sharing"",""ชุมพร!J158"")"),0)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IFERROR(__xludf.DUMMYFUNCTION("IMPORTRANGE(""https://docs.google.com/spreadsheets/d/1IYY_tgx_IHuhSq3AJ5eI5OnqOPBNLWSHKh2a30DoXe8/edit?usp=sharing"",""ชุมพร!J159"")"),"")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IFERROR(__xludf.DUMMYFUNCTION("IMPORTRANGE(""https://docs.google.com/spreadsheets/d/1IYY_tgx_IHuhSq3AJ5eI5OnqOPBNLWSHKh2a30DoXe8/edit?usp=sharing"",""ชุมพร!J161"")"),0)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IFERROR(__xludf.DUMMYFUNCTION("IMPORTRANGE(""https://docs.google.com/spreadsheets/d/1IYY_tgx_IHuhSq3AJ5eI5OnqOPBNLWSHKh2a30DoXe8/edit?usp=sharing"",""ชุมพร!J162"")"),0)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IFERROR(__xludf.DUMMYFUNCTION("IMPORTRANGE(""https://docs.google.com/spreadsheets/d/1IYY_tgx_IHuhSq3AJ5eI5OnqOPBNLWSHKh2a30DoXe8/edit?usp=sharing"",""ชุมพร!J163"")"),0)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IFERROR(__xludf.DUMMYFUNCTION("IMPORTRANGE(""https://docs.google.com/spreadsheets/d/1IYY_tgx_IHuhSq3AJ5eI5OnqOPBNLWSHKh2a30DoXe8/edit?usp=sharing"",""ชุมพร!I164"")"),0)</f>
        <v>0</v>
      </c>
      <c r="J244" s="194">
        <f ca="1">IFERROR(__xludf.DUMMYFUNCTION("IMPORTRANGE(""https://docs.google.com/spreadsheets/d/1IYY_tgx_IHuhSq3AJ5eI5OnqOPBNLWSHKh2a30DoXe8/edit?usp=sharing"",""ชุมพร!J164"")"),0)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IFERROR(__xludf.DUMMYFUNCTION("IMPORTRANGE(""https://docs.google.com/spreadsheets/d/1IYY_tgx_IHuhSq3AJ5eI5OnqOPBNLWSHKh2a30DoXe8/edit?usp=sharing"",""ชุมพร!J165"")"),0)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IFERROR(__xludf.DUMMYFUNCTION("IMPORTRANGE(""https://docs.google.com/spreadsheets/d/1IYY_tgx_IHuhSq3AJ5eI5OnqOPBNLWSHKh2a30DoXe8/edit?usp=sharing"",""ชุมพร!J166"")"),0)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IFERROR(__xludf.DUMMYFUNCTION("IMPORTRANGE(""https://docs.google.com/spreadsheets/d/1IYY_tgx_IHuhSq3AJ5eI5OnqOPBNLWSHKh2a30DoXe8/edit?usp=sharing"",""ชุมพร!I169"")"),20)</f>
        <v>20</v>
      </c>
      <c r="J249" s="322">
        <f ca="1">IFERROR(__xludf.DUMMYFUNCTION("IMPORTRANGE(""https://docs.google.com/spreadsheets/d/1IYY_tgx_IHuhSq3AJ5eI5OnqOPBNLWSHKh2a30DoXe8/edit?usp=sharing"",""ชุมพร!J169"")"),20)</f>
        <v>20</v>
      </c>
      <c r="K249" s="323">
        <f ca="1">IF(I249&gt;0,J249*100/I249,0)</f>
        <v>100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2" t="s">
        <v>17</v>
      </c>
      <c r="E250" s="573"/>
      <c r="F250" s="573"/>
      <c r="G250" s="573"/>
      <c r="H250" s="153" t="s">
        <v>12</v>
      </c>
      <c r="I250" s="166"/>
      <c r="J250" s="166"/>
      <c r="K250" s="167"/>
      <c r="L250" s="156">
        <f t="shared" ref="L250:N250" ca="1" si="77">L251+L252</f>
        <v>71400</v>
      </c>
      <c r="M250" s="156">
        <f t="shared" ca="1" si="77"/>
        <v>71400</v>
      </c>
      <c r="N250" s="156">
        <f t="shared" ca="1" si="77"/>
        <v>54840</v>
      </c>
      <c r="O250" s="155">
        <f t="shared" ref="O250:O252" ca="1" si="78">IF(L250&gt;0,N250*100/L250,0)</f>
        <v>76.806722689075627</v>
      </c>
      <c r="P250" s="155">
        <f t="shared" ref="P250:P252" ca="1" si="79">IF(M250&gt;0,N250*100/M250,0)</f>
        <v>76.806722689075627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71400</v>
      </c>
      <c r="M252" s="161">
        <f t="shared" ca="1" si="81"/>
        <v>71400</v>
      </c>
      <c r="N252" s="161">
        <f t="shared" ca="1" si="81"/>
        <v>54840</v>
      </c>
      <c r="O252" s="160">
        <f t="shared" ca="1" si="78"/>
        <v>76.806722689075627</v>
      </c>
      <c r="P252" s="160">
        <f t="shared" ca="1" si="79"/>
        <v>76.806722689075627</v>
      </c>
    </row>
    <row r="253" spans="1:16" ht="21.75" customHeight="1" x14ac:dyDescent="0.3">
      <c r="A253" s="162"/>
      <c r="B253" s="163"/>
      <c r="C253" s="163" t="s">
        <v>16</v>
      </c>
      <c r="D253" s="574" t="s">
        <v>20</v>
      </c>
      <c r="E253" s="575"/>
      <c r="F253" s="575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71400</v>
      </c>
      <c r="M254" s="173">
        <f ca="1">IFERROR(__xludf.DUMMYFUNCTION("IMPORTRANGE(""https://docs.google.com/spreadsheets/d/1Yj_ptqi66GCucihVvJfMjLAmec39IyEx_6qawtMGysU/edit?usp=sharing"",""สบก!CB82"")"),71400)</f>
        <v>71400</v>
      </c>
      <c r="N254" s="174">
        <f ca="1">IFERROR(__xludf.DUMMYFUNCTION("IMPORTRANGE(""https://docs.google.com/spreadsheets/d/1Yj_ptqi66GCucihVvJfMjLAmec39IyEx_6qawtMGysU/edit?usp=sharing"",""สบก!CC82"")"),54840)</f>
        <v>54840</v>
      </c>
      <c r="O254" s="175">
        <f ca="1">IF(L254&gt;0,N254*100/L254,0)</f>
        <v>76.806722689075627</v>
      </c>
      <c r="P254" s="175">
        <f ca="1">IF(M254&gt;0,N254*100/M254,0)</f>
        <v>76.806722689075627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IFERROR(__xludf.DUMMYFUNCTION("IMPORTRANGE(""https://docs.google.com/spreadsheets/d/1Yj_ptqi66GCucihVvJfMjLAmec39IyEx_6qawtMGysU/edit?usp=sharing"",""สบก!BX82"")"),0)</f>
        <v>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IFERROR(__xludf.DUMMYFUNCTION("IMPORTRANGE(""https://docs.google.com/spreadsheets/d/1Yj_ptqi66GCucihVvJfMjLAmec39IyEx_6qawtMGysU/edit?usp=sharing"",""สบก!BY82"")"),71400)</f>
        <v>71400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6" t="s">
        <v>23</v>
      </c>
      <c r="E257" s="575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IFERROR(__xludf.DUMMYFUNCTION("IMPORTRANGE(""https://docs.google.com/spreadsheets/d/1Yj_ptqi66GCucihVvJfMjLAmec39IyEx_6qawtMGysU/edit?usp=sharing"",""สบก!BZ82"")"),0)</f>
        <v>0</v>
      </c>
      <c r="M258" s="101"/>
      <c r="N258" s="91">
        <f ca="1">IFERROR(__xludf.DUMMYFUNCTION("IMPORTRANGE(""https://docs.google.com/spreadsheets/d/1Yj_ptqi66GCucihVvJfMjLAmec39IyEx_6qawtMGysU/edit?usp=sharing"",""สบก!CD82"")"),0)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IFERROR(__xludf.DUMMYFUNCTION("IMPORTRANGE(""https://docs.google.com/spreadsheets/d/1IYY_tgx_IHuhSq3AJ5eI5OnqOPBNLWSHKh2a30DoXe8/edit?usp=sharing"",""ชุมพร!J175"")"),0)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IFERROR(__xludf.DUMMYFUNCTION("IMPORTRANGE(""https://docs.google.com/spreadsheets/d/1IYY_tgx_IHuhSq3AJ5eI5OnqOPBNLWSHKh2a30DoXe8/edit?usp=sharing"",""ชุมพร!J176"")"),1)</f>
        <v>1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IFERROR(__xludf.DUMMYFUNCTION("IMPORTRANGE(""https://docs.google.com/spreadsheets/d/1IYY_tgx_IHuhSq3AJ5eI5OnqOPBNLWSHKh2a30DoXe8/edit?usp=sharing"",""ชุมพร!J177"")"),1)</f>
        <v>1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IFERROR(__xludf.DUMMYFUNCTION("IMPORTRANGE(""https://docs.google.com/spreadsheets/d/1IYY_tgx_IHuhSq3AJ5eI5OnqOPBNLWSHKh2a30DoXe8/edit?usp=sharing"",""ชุมพร!J178"")"),1)</f>
        <v>1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IFERROR(__xludf.DUMMYFUNCTION("IMPORTRANGE(""https://docs.google.com/spreadsheets/d/1IYY_tgx_IHuhSq3AJ5eI5OnqOPBNLWSHKh2a30DoXe8/edit?usp=sharing"",""ชุมพร!I179"")"),1)</f>
        <v>1</v>
      </c>
      <c r="J264" s="195">
        <f ca="1">IFERROR(__xludf.DUMMYFUNCTION("IMPORTRANGE(""https://docs.google.com/spreadsheets/d/1IYY_tgx_IHuhSq3AJ5eI5OnqOPBNLWSHKh2a30DoXe8/edit?usp=sharing"",""ชุมพร!J179"")"),0)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IFERROR(__xludf.DUMMYFUNCTION("IMPORTRANGE(""https://docs.google.com/spreadsheets/d/1IYY_tgx_IHuhSq3AJ5eI5OnqOPBNLWSHKh2a30DoXe8/edit?usp=sharing"",""ชุมพร!I180"")"),20)</f>
        <v>20</v>
      </c>
      <c r="J265" s="195">
        <f ca="1">IFERROR(__xludf.DUMMYFUNCTION("IMPORTRANGE(""https://docs.google.com/spreadsheets/d/1IYY_tgx_IHuhSq3AJ5eI5OnqOPBNLWSHKh2a30DoXe8/edit?usp=sharing"",""ชุมพร!J180"")"),20)</f>
        <v>20</v>
      </c>
      <c r="K265" s="167">
        <f t="shared" ca="1" si="82"/>
        <v>100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IFERROR(__xludf.DUMMYFUNCTION("IMPORTRANGE(""https://docs.google.com/spreadsheets/d/1IYY_tgx_IHuhSq3AJ5eI5OnqOPBNLWSHKh2a30DoXe8/edit?usp=sharing"",""ชุมพร!I181"")"),20)</f>
        <v>20</v>
      </c>
      <c r="J266" s="195">
        <f ca="1">IFERROR(__xludf.DUMMYFUNCTION("IMPORTRANGE(""https://docs.google.com/spreadsheets/d/1IYY_tgx_IHuhSq3AJ5eI5OnqOPBNLWSHKh2a30DoXe8/edit?usp=sharing"",""ชุมพร!J181"")"),0)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IFERROR(__xludf.DUMMYFUNCTION("IMPORTRANGE(""https://docs.google.com/spreadsheets/d/1IYY_tgx_IHuhSq3AJ5eI5OnqOPBNLWSHKh2a30DoXe8/edit?usp=sharing"",""ชุมพร!I182"")"),1)</f>
        <v>1</v>
      </c>
      <c r="J267" s="195">
        <f ca="1">IFERROR(__xludf.DUMMYFUNCTION("IMPORTRANGE(""https://docs.google.com/spreadsheets/d/1IYY_tgx_IHuhSq3AJ5eI5OnqOPBNLWSHKh2a30DoXe8/edit?usp=sharing"",""ชุมพร!J182"")"),1)</f>
        <v>1</v>
      </c>
      <c r="K267" s="167">
        <f t="shared" ca="1" si="82"/>
        <v>100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IFERROR(__xludf.DUMMYFUNCTION("IMPORTRANGE(""https://docs.google.com/spreadsheets/d/1IYY_tgx_IHuhSq3AJ5eI5OnqOPBNLWSHKh2a30DoXe8/edit?usp=sharing"",""ชุมพร!J183"")"),0)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IFERROR(__xludf.DUMMYFUNCTION("IMPORTRANGE(""https://docs.google.com/spreadsheets/d/1IYY_tgx_IHuhSq3AJ5eI5OnqOPBNLWSHKh2a30DoXe8/edit?usp=sharing"",""ชุมพร!J184"")"),0)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IFERROR(__xludf.DUMMYFUNCTION("IMPORTRANGE(""https://docs.google.com/spreadsheets/d/1IYY_tgx_IHuhSq3AJ5eI5OnqOPBNLWSHKh2a30DoXe8/edit?usp=sharing"",""ชุมพร!I185"")"),20)</f>
        <v>20</v>
      </c>
      <c r="J270" s="322">
        <f ca="1">IFERROR(__xludf.DUMMYFUNCTION("IMPORTRANGE(""https://docs.google.com/spreadsheets/d/1IYY_tgx_IHuhSq3AJ5eI5OnqOPBNLWSHKh2a30DoXe8/edit?usp=sharing"",""ชุมพร!J185"")"),20)</f>
        <v>20</v>
      </c>
      <c r="K270" s="323">
        <f ca="1">IF(I270&gt;0,J270*100/I270,0)</f>
        <v>100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2" t="s">
        <v>17</v>
      </c>
      <c r="E271" s="573"/>
      <c r="F271" s="573"/>
      <c r="G271" s="573"/>
      <c r="H271" s="153" t="s">
        <v>12</v>
      </c>
      <c r="I271" s="166"/>
      <c r="J271" s="166"/>
      <c r="K271" s="167"/>
      <c r="L271" s="156">
        <f t="shared" ref="L271:N271" ca="1" si="83">L272+L273</f>
        <v>200080</v>
      </c>
      <c r="M271" s="156">
        <f t="shared" ca="1" si="83"/>
        <v>200080</v>
      </c>
      <c r="N271" s="156">
        <f t="shared" ca="1" si="83"/>
        <v>195461</v>
      </c>
      <c r="O271" s="155">
        <f t="shared" ref="O271:O273" ca="1" si="84">IF(L271&gt;0,N271*100/L271,0)</f>
        <v>97.691423430627751</v>
      </c>
      <c r="P271" s="155">
        <f t="shared" ref="P271:P273" ca="1" si="85">IF(M271&gt;0,N271*100/M271,0)</f>
        <v>97.691423430627751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200080</v>
      </c>
      <c r="M273" s="161">
        <f t="shared" ca="1" si="87"/>
        <v>200080</v>
      </c>
      <c r="N273" s="161">
        <f t="shared" ca="1" si="87"/>
        <v>195461</v>
      </c>
      <c r="O273" s="160">
        <f t="shared" ca="1" si="84"/>
        <v>97.691423430627751</v>
      </c>
      <c r="P273" s="160">
        <f t="shared" ca="1" si="85"/>
        <v>97.691423430627751</v>
      </c>
    </row>
    <row r="274" spans="1:16" ht="21.75" customHeight="1" x14ac:dyDescent="0.3">
      <c r="A274" s="162"/>
      <c r="B274" s="163"/>
      <c r="C274" s="163" t="s">
        <v>16</v>
      </c>
      <c r="D274" s="574" t="s">
        <v>20</v>
      </c>
      <c r="E274" s="575"/>
      <c r="F274" s="575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200080</v>
      </c>
      <c r="M275" s="173">
        <f ca="1">IFERROR(__xludf.DUMMYFUNCTION("IMPORTRANGE(""https://docs.google.com/spreadsheets/d/1Yj_ptqi66GCucihVvJfMjLAmec39IyEx_6qawtMGysU/edit?usp=sharing"",""สบก!CK82"")"),200080)</f>
        <v>200080</v>
      </c>
      <c r="N275" s="174">
        <f ca="1">IFERROR(__xludf.DUMMYFUNCTION("IMPORTRANGE(""https://docs.google.com/spreadsheets/d/1Yj_ptqi66GCucihVvJfMjLAmec39IyEx_6qawtMGysU/edit?usp=sharing"",""สบก!CL82"")"),195461)</f>
        <v>195461</v>
      </c>
      <c r="O275" s="175">
        <f ca="1">IF(L275&gt;0,N275*100/L275,0)</f>
        <v>97.691423430627751</v>
      </c>
      <c r="P275" s="175">
        <f ca="1">IF(M275&gt;0,N275*100/M275,0)</f>
        <v>97.691423430627751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IFERROR(__xludf.DUMMYFUNCTION("IMPORTRANGE(""https://docs.google.com/spreadsheets/d/1Yj_ptqi66GCucihVvJfMjLAmec39IyEx_6qawtMGysU/edit?usp=sharing"",""สบก!CG82"")"),0)</f>
        <v>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IFERROR(__xludf.DUMMYFUNCTION("IMPORTRANGE(""https://docs.google.com/spreadsheets/d/1Yj_ptqi66GCucihVvJfMjLAmec39IyEx_6qawtMGysU/edit?usp=sharing"",""สบก!CH82"")"),200080)</f>
        <v>200080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6" t="s">
        <v>23</v>
      </c>
      <c r="E278" s="575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IFERROR(__xludf.DUMMYFUNCTION("IMPORTRANGE(""https://docs.google.com/spreadsheets/d/1Yj_ptqi66GCucihVvJfMjLAmec39IyEx_6qawtMGysU/edit?usp=sharing"",""สบก!CI82"")"),0)</f>
        <v>0</v>
      </c>
      <c r="M279" s="101"/>
      <c r="N279" s="91">
        <f ca="1">IFERROR(__xludf.DUMMYFUNCTION("IMPORTRANGE(""https://docs.google.com/spreadsheets/d/1Yj_ptqi66GCucihVvJfMjLAmec39IyEx_6qawtMGysU/edit?usp=sharing"",""สบก!CM82"")"),0)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IFERROR(__xludf.DUMMYFUNCTION("IMPORTRANGE(""https://docs.google.com/spreadsheets/d/1IYY_tgx_IHuhSq3AJ5eI5OnqOPBNLWSHKh2a30DoXe8/edit?usp=sharing"",""ชุมพร!J191"")"),0)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IFERROR(__xludf.DUMMYFUNCTION("IMPORTRANGE(""https://docs.google.com/spreadsheets/d/1IYY_tgx_IHuhSq3AJ5eI5OnqOPBNLWSHKh2a30DoXe8/edit?usp=sharing"",""ชุมพร!J192"")"),1)</f>
        <v>1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IFERROR(__xludf.DUMMYFUNCTION("IMPORTRANGE(""https://docs.google.com/spreadsheets/d/1IYY_tgx_IHuhSq3AJ5eI5OnqOPBNLWSHKh2a30DoXe8/edit?usp=sharing"",""ชุมพร!J193"")"),1)</f>
        <v>1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IFERROR(__xludf.DUMMYFUNCTION("IMPORTRANGE(""https://docs.google.com/spreadsheets/d/1IYY_tgx_IHuhSq3AJ5eI5OnqOPBNLWSHKh2a30DoXe8/edit?usp=sharing"",""ชุมพร!J194"")"),1)</f>
        <v>1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IFERROR(__xludf.DUMMYFUNCTION("IMPORTRANGE(""https://docs.google.com/spreadsheets/d/1IYY_tgx_IHuhSq3AJ5eI5OnqOPBNLWSHKh2a30DoXe8/edit?usp=sharing"",""ชุมพร!I195"")"),20)</f>
        <v>20</v>
      </c>
      <c r="J285" s="195">
        <f ca="1">IFERROR(__xludf.DUMMYFUNCTION("IMPORTRANGE(""https://docs.google.com/spreadsheets/d/1IYY_tgx_IHuhSq3AJ5eI5OnqOPBNLWSHKh2a30DoXe8/edit?usp=sharing"",""ชุมพร!J195"")"),20)</f>
        <v>20</v>
      </c>
      <c r="K285" s="167">
        <f ca="1">IF(I285&gt;0,J285*100/I285,0)</f>
        <v>100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IFERROR(__xludf.DUMMYFUNCTION("IMPORTRANGE(""https://docs.google.com/spreadsheets/d/1IYY_tgx_IHuhSq3AJ5eI5OnqOPBNLWSHKh2a30DoXe8/edit?usp=sharing"",""ชุมพร!J196"")"),0)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IFERROR(__xludf.DUMMYFUNCTION("IMPORTRANGE(""https://docs.google.com/spreadsheets/d/1IYY_tgx_IHuhSq3AJ5eI5OnqOPBNLWSHKh2a30DoXe8/edit?usp=sharing"",""ชุมพร!J197"")"),0)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IFERROR(__xludf.DUMMYFUNCTION("IMPORTRANGE(""https://docs.google.com/spreadsheets/d/1IYY_tgx_IHuhSq3AJ5eI5OnqOPBNLWSHKh2a30DoXe8/edit?usp=sharing"",""ชุมพร!I199"")"),30)</f>
        <v>30</v>
      </c>
      <c r="J289" s="322">
        <f ca="1">IFERROR(__xludf.DUMMYFUNCTION("IMPORTRANGE(""https://docs.google.com/spreadsheets/d/1IYY_tgx_IHuhSq3AJ5eI5OnqOPBNLWSHKh2a30DoXe8/edit?usp=sharing"",""ชุมพร!J199"")"),30)</f>
        <v>30</v>
      </c>
      <c r="K289" s="323">
        <f ca="1">IF(I289&gt;0,J289*100/I289,0)</f>
        <v>100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2" t="s">
        <v>17</v>
      </c>
      <c r="E290" s="573"/>
      <c r="F290" s="573"/>
      <c r="G290" s="573"/>
      <c r="H290" s="153" t="s">
        <v>12</v>
      </c>
      <c r="I290" s="194"/>
      <c r="J290" s="194"/>
      <c r="K290" s="230"/>
      <c r="L290" s="156">
        <f t="shared" ref="L290:N290" ca="1" si="88">L291+L292</f>
        <v>95360</v>
      </c>
      <c r="M290" s="156">
        <f t="shared" ca="1" si="88"/>
        <v>125360</v>
      </c>
      <c r="N290" s="156">
        <f t="shared" ca="1" si="88"/>
        <v>125360</v>
      </c>
      <c r="O290" s="155">
        <f t="shared" ref="O290:O292" ca="1" si="89">IF(L290&gt;0,N290*100/L290,0)</f>
        <v>131.45973154362417</v>
      </c>
      <c r="P290" s="155">
        <f t="shared" ref="P290:P292" ca="1" si="90">IF(M290&gt;0,N290*100/M290,0)</f>
        <v>100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95360</v>
      </c>
      <c r="M292" s="161">
        <f t="shared" ca="1" si="92"/>
        <v>125360</v>
      </c>
      <c r="N292" s="161">
        <f t="shared" ca="1" si="92"/>
        <v>125360</v>
      </c>
      <c r="O292" s="160">
        <f t="shared" ca="1" si="89"/>
        <v>131.45973154362417</v>
      </c>
      <c r="P292" s="160">
        <f t="shared" ca="1" si="90"/>
        <v>100</v>
      </c>
    </row>
    <row r="293" spans="1:16" ht="21.75" customHeight="1" x14ac:dyDescent="0.3">
      <c r="A293" s="162"/>
      <c r="B293" s="163"/>
      <c r="C293" s="163" t="s">
        <v>16</v>
      </c>
      <c r="D293" s="574" t="s">
        <v>20</v>
      </c>
      <c r="E293" s="575"/>
      <c r="F293" s="575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95360</v>
      </c>
      <c r="M294" s="173">
        <f ca="1">IFERROR(__xludf.DUMMYFUNCTION("IMPORTRANGE(""https://docs.google.com/spreadsheets/d/1Yj_ptqi66GCucihVvJfMjLAmec39IyEx_6qawtMGysU/edit?usp=sharing"",""สบก!CT82"")"),125360)</f>
        <v>125360</v>
      </c>
      <c r="N294" s="174">
        <f ca="1">IFERROR(__xludf.DUMMYFUNCTION("IMPORTRANGE(""https://docs.google.com/spreadsheets/d/1Yj_ptqi66GCucihVvJfMjLAmec39IyEx_6qawtMGysU/edit?usp=sharing"",""สบก!CU82"")"),125360)</f>
        <v>125360</v>
      </c>
      <c r="O294" s="175">
        <f ca="1">IF(L294&gt;0,N294*100/L294,0)</f>
        <v>131.45973154362417</v>
      </c>
      <c r="P294" s="175">
        <f ca="1">IF(M294&gt;0,N294*100/M294,0)</f>
        <v>100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IFERROR(__xludf.DUMMYFUNCTION("IMPORTRANGE(""https://docs.google.com/spreadsheets/d/1Yj_ptqi66GCucihVvJfMjLAmec39IyEx_6qawtMGysU/edit?usp=sharing"",""สบก!CP82"")"),0)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IFERROR(__xludf.DUMMYFUNCTION("IMPORTRANGE(""https://docs.google.com/spreadsheets/d/1Yj_ptqi66GCucihVvJfMjLAmec39IyEx_6qawtMGysU/edit?usp=sharing"",""สบก!CQ82"")"),95360)</f>
        <v>95360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6" t="s">
        <v>23</v>
      </c>
      <c r="E297" s="575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IFERROR(__xludf.DUMMYFUNCTION("IMPORTRANGE(""https://docs.google.com/spreadsheets/d/1Yj_ptqi66GCucihVvJfMjLAmec39IyEx_6qawtMGysU/edit?usp=sharing"",""สบก!CR82"")"),0)</f>
        <v>0</v>
      </c>
      <c r="M298" s="101"/>
      <c r="N298" s="91">
        <f ca="1">IFERROR(__xludf.DUMMYFUNCTION("IMPORTRANGE(""https://docs.google.com/spreadsheets/d/1Yj_ptqi66GCucihVvJfMjLAmec39IyEx_6qawtMGysU/edit?usp=sharing"",""สบก!CV82"")"),0)</f>
        <v>0</v>
      </c>
      <c r="O298" s="101">
        <f ca="1">IF(L298&gt;0,N298*100/L298,0)</f>
        <v>0</v>
      </c>
      <c r="P298" s="101"/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IFERROR(__xludf.DUMMYFUNCTION("IMPORTRANGE(""https://docs.google.com/spreadsheets/d/1IYY_tgx_IHuhSq3AJ5eI5OnqOPBNLWSHKh2a30DoXe8/edit?usp=sharing"",""ชุมพร!J205"")"),0)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IFERROR(__xludf.DUMMYFUNCTION("IMPORTRANGE(""https://docs.google.com/spreadsheets/d/1IYY_tgx_IHuhSq3AJ5eI5OnqOPBNLWSHKh2a30DoXe8/edit?usp=sharing"",""ชุมพร!J206"")"),1)</f>
        <v>1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IFERROR(__xludf.DUMMYFUNCTION("IMPORTRANGE(""https://docs.google.com/spreadsheets/d/1IYY_tgx_IHuhSq3AJ5eI5OnqOPBNLWSHKh2a30DoXe8/edit?usp=sharing"",""ชุมพร!J207"")"),1)</f>
        <v>1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IFERROR(__xludf.DUMMYFUNCTION("IMPORTRANGE(""https://docs.google.com/spreadsheets/d/1IYY_tgx_IHuhSq3AJ5eI5OnqOPBNLWSHKh2a30DoXe8/edit?usp=sharing"",""ชุมพร!J208"")"),1)</f>
        <v>1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IFERROR(__xludf.DUMMYFUNCTION("IMPORTRANGE(""https://docs.google.com/spreadsheets/d/1IYY_tgx_IHuhSq3AJ5eI5OnqOPBNLWSHKh2a30DoXe8/edit?usp=sharing"",""ชุมพร!I209"")"),30)</f>
        <v>30</v>
      </c>
      <c r="J304" s="210">
        <f ca="1">IFERROR(__xludf.DUMMYFUNCTION("IMPORTRANGE(""https://docs.google.com/spreadsheets/d/1IYY_tgx_IHuhSq3AJ5eI5OnqOPBNLWSHKh2a30DoXe8/edit?usp=sharing"",""ชุมพร!J209"")"),30)</f>
        <v>30</v>
      </c>
      <c r="K304" s="230">
        <f ca="1">IF(I304&gt;0,J304*100/I304,0)</f>
        <v>100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IFERROR(__xludf.DUMMYFUNCTION("IMPORTRANGE(""https://docs.google.com/spreadsheets/d/1IYY_tgx_IHuhSq3AJ5eI5OnqOPBNLWSHKh2a30DoXe8/edit?usp=sharing"",""ชุมพร!I211"")"),30)</f>
        <v>30</v>
      </c>
      <c r="J306" s="210">
        <f ca="1">IFERROR(__xludf.DUMMYFUNCTION("IMPORTRANGE(""https://docs.google.com/spreadsheets/d/1IYY_tgx_IHuhSq3AJ5eI5OnqOPBNLWSHKh2a30DoXe8/edit?usp=sharing"",""ชุมพร!J211"")"),30)</f>
        <v>30</v>
      </c>
      <c r="K306" s="230">
        <f ca="1">IF(I306&gt;0,J306*100/I306,0)</f>
        <v>100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IFERROR(__xludf.DUMMYFUNCTION("IMPORTRANGE(""https://docs.google.com/spreadsheets/d/1IYY_tgx_IHuhSq3AJ5eI5OnqOPBNLWSHKh2a30DoXe8/edit?usp=sharing"",""ชุมพร!J212"")"),0)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IFERROR(__xludf.DUMMYFUNCTION("IMPORTRANGE(""https://docs.google.com/spreadsheets/d/1IYY_tgx_IHuhSq3AJ5eI5OnqOPBNLWSHKh2a30DoXe8/edit?usp=sharing"",""ชุมพร!J213"")"),0)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IFERROR(__xludf.DUMMYFUNCTION("IMPORTRANGE(""https://docs.google.com/spreadsheets/d/1IYY_tgx_IHuhSq3AJ5eI5OnqOPBNLWSHKh2a30DoXe8/edit?usp=sharing"",""ชุมพร!I214"")"),1)</f>
        <v>1</v>
      </c>
      <c r="J309" s="339">
        <f ca="1">IFERROR(__xludf.DUMMYFUNCTION("IMPORTRANGE(""https://docs.google.com/spreadsheets/d/1IYY_tgx_IHuhSq3AJ5eI5OnqOPBNLWSHKh2a30DoXe8/edit?usp=sharing"",""ชุมพร!J214"")"),1)</f>
        <v>1</v>
      </c>
      <c r="K309" s="340">
        <f ca="1">IF(I309&gt;0,J309*100/I309,0)</f>
        <v>100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2" t="s">
        <v>17</v>
      </c>
      <c r="E310" s="573"/>
      <c r="F310" s="573"/>
      <c r="G310" s="573"/>
      <c r="H310" s="153" t="s">
        <v>12</v>
      </c>
      <c r="I310" s="342"/>
      <c r="J310" s="342"/>
      <c r="K310" s="343"/>
      <c r="L310" s="156">
        <f t="shared" ref="L310:N310" ca="1" si="93">L311+L312</f>
        <v>391600</v>
      </c>
      <c r="M310" s="156">
        <f t="shared" ca="1" si="93"/>
        <v>391600</v>
      </c>
      <c r="N310" s="156">
        <f t="shared" ca="1" si="93"/>
        <v>350995</v>
      </c>
      <c r="O310" s="155">
        <f t="shared" ref="O310:O312" ca="1" si="94">IF(L310&gt;0,N310*100/L310,0)</f>
        <v>89.631001021450459</v>
      </c>
      <c r="P310" s="155">
        <f t="shared" ref="P310:P312" ca="1" si="95">IF(M310&gt;0,N310*100/M310,0)</f>
        <v>89.631001021450459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391600</v>
      </c>
      <c r="M312" s="161">
        <f t="shared" ca="1" si="97"/>
        <v>391600</v>
      </c>
      <c r="N312" s="161">
        <f t="shared" ca="1" si="97"/>
        <v>350995</v>
      </c>
      <c r="O312" s="160">
        <f t="shared" ca="1" si="94"/>
        <v>89.631001021450459</v>
      </c>
      <c r="P312" s="160">
        <f t="shared" ca="1" si="95"/>
        <v>89.631001021450459</v>
      </c>
    </row>
    <row r="313" spans="1:16" ht="21.75" customHeight="1" x14ac:dyDescent="0.3">
      <c r="A313" s="162"/>
      <c r="B313" s="163"/>
      <c r="C313" s="163" t="s">
        <v>16</v>
      </c>
      <c r="D313" s="574" t="s">
        <v>20</v>
      </c>
      <c r="E313" s="575"/>
      <c r="F313" s="575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391600</v>
      </c>
      <c r="M314" s="173">
        <f ca="1">IFERROR(__xludf.DUMMYFUNCTION("IMPORTRANGE(""https://docs.google.com/spreadsheets/d/1Yj_ptqi66GCucihVvJfMjLAmec39IyEx_6qawtMGysU/edit?usp=sharing"",""สบก!DC82"")"),391600)</f>
        <v>391600</v>
      </c>
      <c r="N314" s="174">
        <f ca="1">IFERROR(__xludf.DUMMYFUNCTION("IMPORTRANGE(""https://docs.google.com/spreadsheets/d/1Yj_ptqi66GCucihVvJfMjLAmec39IyEx_6qawtMGysU/edit?usp=sharing"",""สบก!DD82"")"),350995)</f>
        <v>350995</v>
      </c>
      <c r="O314" s="175">
        <f ca="1">IF(L314&gt;0,N314*100/L314,0)</f>
        <v>89.631001021450459</v>
      </c>
      <c r="P314" s="175">
        <f ca="1">IF(M314&gt;0,N314*100/M314,0)</f>
        <v>89.631001021450459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IFERROR(__xludf.DUMMYFUNCTION("IMPORTRANGE(""https://docs.google.com/spreadsheets/d/1Yj_ptqi66GCucihVvJfMjLAmec39IyEx_6qawtMGysU/edit?usp=sharing"",""สบก!CY82"")"),0)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IFERROR(__xludf.DUMMYFUNCTION("IMPORTRANGE(""https://docs.google.com/spreadsheets/d/1Yj_ptqi66GCucihVvJfMjLAmec39IyEx_6qawtMGysU/edit?usp=sharing"",""สบก!CZ82"")"),391600)</f>
        <v>391600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6" t="s">
        <v>23</v>
      </c>
      <c r="E317" s="575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IFERROR(__xludf.DUMMYFUNCTION("IMPORTRANGE(""https://docs.google.com/spreadsheets/d/1Yj_ptqi66GCucihVvJfMjLAmec39IyEx_6qawtMGysU/edit?usp=sharing"",""สบก!DA82"")"),0)</f>
        <v>0</v>
      </c>
      <c r="M318" s="101"/>
      <c r="N318" s="91">
        <f ca="1">IFERROR(__xludf.DUMMYFUNCTION("IMPORTRANGE(""https://docs.google.com/spreadsheets/d/1Yj_ptqi66GCucihVvJfMjLAmec39IyEx_6qawtMGysU/edit?usp=sharing"",""สบก!DE82"")"),0)</f>
        <v>0</v>
      </c>
      <c r="O318" s="101">
        <f ca="1">IF(L318&gt;0,N318*100/L318,0)</f>
        <v>0</v>
      </c>
      <c r="P318" s="101"/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IFERROR(__xludf.DUMMYFUNCTION("IMPORTRANGE(""https://docs.google.com/spreadsheets/d/1IYY_tgx_IHuhSq3AJ5eI5OnqOPBNLWSHKh2a30DoXe8/edit?usp=sharing"",""ชุมพร!J220"")"),0)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IFERROR(__xludf.DUMMYFUNCTION("IMPORTRANGE(""https://docs.google.com/spreadsheets/d/1IYY_tgx_IHuhSq3AJ5eI5OnqOPBNLWSHKh2a30DoXe8/edit?usp=sharing"",""ชุมพร!J221"")"),1)</f>
        <v>1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IFERROR(__xludf.DUMMYFUNCTION("IMPORTRANGE(""https://docs.google.com/spreadsheets/d/1IYY_tgx_IHuhSq3AJ5eI5OnqOPBNLWSHKh2a30DoXe8/edit?usp=sharing"",""ชุมพร!J222"")"),1)</f>
        <v>1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IFERROR(__xludf.DUMMYFUNCTION("IMPORTRANGE(""https://docs.google.com/spreadsheets/d/1IYY_tgx_IHuhSq3AJ5eI5OnqOPBNLWSHKh2a30DoXe8/edit?usp=sharing"",""ชุมพร!J223"")"),1)</f>
        <v>1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IFERROR(__xludf.DUMMYFUNCTION("IMPORTRANGE(""https://docs.google.com/spreadsheets/d/1IYY_tgx_IHuhSq3AJ5eI5OnqOPBNLWSHKh2a30DoXe8/edit?usp=sharing"",""ชุมพร!I224"")"),1)</f>
        <v>1</v>
      </c>
      <c r="J324" s="210">
        <f ca="1">IFERROR(__xludf.DUMMYFUNCTION("IMPORTRANGE(""https://docs.google.com/spreadsheets/d/1IYY_tgx_IHuhSq3AJ5eI5OnqOPBNLWSHKh2a30DoXe8/edit?usp=sharing"",""ชุมพร!J224"")"),1)</f>
        <v>1</v>
      </c>
      <c r="K324" s="230">
        <f ca="1">IF(I324&gt;0,J324*100/I324,0)</f>
        <v>100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IFERROR(__xludf.DUMMYFUNCTION("IMPORTRANGE(""https://docs.google.com/spreadsheets/d/1IYY_tgx_IHuhSq3AJ5eI5OnqOPBNLWSHKh2a30DoXe8/edit?usp=sharing"",""ชุมพร!J225"")"),0)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IFERROR(__xludf.DUMMYFUNCTION("IMPORTRANGE(""https://docs.google.com/spreadsheets/d/1IYY_tgx_IHuhSq3AJ5eI5OnqOPBNLWSHKh2a30DoXe8/edit?usp=sharing"",""ชุมพร!J226"")"),0)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IFERROR(__xludf.DUMMYFUNCTION("IMPORTRANGE(""https://docs.google.com/spreadsheets/d/1IYY_tgx_IHuhSq3AJ5eI5OnqOPBNLWSHKh2a30DoXe8/edit?usp=sharing"",""ชุมพร!I228"")"),240)</f>
        <v>240</v>
      </c>
      <c r="J328" s="345">
        <f ca="1">IFERROR(__xludf.DUMMYFUNCTION("IMPORTRANGE(""https://docs.google.com/spreadsheets/d/1IYY_tgx_IHuhSq3AJ5eI5OnqOPBNLWSHKh2a30DoXe8/edit?usp=sharing"",""ชุมพร!J228"")"),229)</f>
        <v>229</v>
      </c>
      <c r="K328" s="323">
        <f ca="1">IF(I328&gt;0,J328*100/I328,0)</f>
        <v>95.416666666666671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2" t="s">
        <v>17</v>
      </c>
      <c r="E329" s="573"/>
      <c r="F329" s="573"/>
      <c r="G329" s="573"/>
      <c r="H329" s="153" t="s">
        <v>12</v>
      </c>
      <c r="I329" s="166"/>
      <c r="J329" s="166"/>
      <c r="K329" s="167"/>
      <c r="L329" s="156">
        <f t="shared" ref="L329:N329" ca="1" si="98">L330+L331</f>
        <v>624360</v>
      </c>
      <c r="M329" s="156">
        <f t="shared" ca="1" si="98"/>
        <v>664860</v>
      </c>
      <c r="N329" s="156">
        <f t="shared" ca="1" si="98"/>
        <v>558447.06999999995</v>
      </c>
      <c r="O329" s="155">
        <f t="shared" ref="O329:O331" ca="1" si="99">IF(L329&gt;0,N329*100/L329,0)</f>
        <v>89.443120955858788</v>
      </c>
      <c r="P329" s="155">
        <f t="shared" ref="P329:P331" ca="1" si="100">IF(M329&gt;0,N329*100/M329,0)</f>
        <v>83.994686099329172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624360</v>
      </c>
      <c r="M331" s="161">
        <f t="shared" ca="1" si="102"/>
        <v>664860</v>
      </c>
      <c r="N331" s="161">
        <f t="shared" ca="1" si="102"/>
        <v>558447.06999999995</v>
      </c>
      <c r="O331" s="160">
        <f t="shared" ca="1" si="99"/>
        <v>89.443120955858788</v>
      </c>
      <c r="P331" s="160">
        <f t="shared" ca="1" si="100"/>
        <v>83.994686099329172</v>
      </c>
    </row>
    <row r="332" spans="1:16" ht="21.75" customHeight="1" x14ac:dyDescent="0.3">
      <c r="A332" s="162"/>
      <c r="B332" s="163"/>
      <c r="C332" s="163" t="s">
        <v>16</v>
      </c>
      <c r="D332" s="574" t="s">
        <v>20</v>
      </c>
      <c r="E332" s="575"/>
      <c r="F332" s="575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624360</v>
      </c>
      <c r="M333" s="173">
        <f ca="1">IFERROR(__xludf.DUMMYFUNCTION("IMPORTRANGE(""https://docs.google.com/spreadsheets/d/1Yj_ptqi66GCucihVvJfMjLAmec39IyEx_6qawtMGysU/edit?usp=sharing"",""สบก!DL82"")"),664860)</f>
        <v>664860</v>
      </c>
      <c r="N333" s="174">
        <f ca="1">IFERROR(__xludf.DUMMYFUNCTION("IMPORTRANGE(""https://docs.google.com/spreadsheets/d/1Yj_ptqi66GCucihVvJfMjLAmec39IyEx_6qawtMGysU/edit?usp=sharing"",""สบก!DM82"")"),558447.07)</f>
        <v>558447.06999999995</v>
      </c>
      <c r="O333" s="175">
        <f ca="1">IF(L333&gt;0,N333*100/L333,0)</f>
        <v>89.443120955858788</v>
      </c>
      <c r="P333" s="175">
        <f ca="1">IF(M333&gt;0,N333*100/M333,0)</f>
        <v>83.994686099329172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IFERROR(__xludf.DUMMYFUNCTION("IMPORTRANGE(""https://docs.google.com/spreadsheets/d/1Yj_ptqi66GCucihVvJfMjLAmec39IyEx_6qawtMGysU/edit?usp=sharing"",""สบก!DH82"")"),194400)</f>
        <v>194400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IFERROR(__xludf.DUMMYFUNCTION("IMPORTRANGE(""https://docs.google.com/spreadsheets/d/1Yj_ptqi66GCucihVvJfMjLAmec39IyEx_6qawtMGysU/edit?usp=sharing"",""สบก!DI82"")"),429960)</f>
        <v>429960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6" t="s">
        <v>23</v>
      </c>
      <c r="E336" s="575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IFERROR(__xludf.DUMMYFUNCTION("IMPORTRANGE(""https://docs.google.com/spreadsheets/d/1Yj_ptqi66GCucihVvJfMjLAmec39IyEx_6qawtMGysU/edit?usp=sharing"",""สบก!DJ82"")"),0)</f>
        <v>0</v>
      </c>
      <c r="M337" s="101"/>
      <c r="N337" s="91">
        <f ca="1">IFERROR(__xludf.DUMMYFUNCTION("IMPORTRANGE(""https://docs.google.com/spreadsheets/d/1Yj_ptqi66GCucihVvJfMjLAmec39IyEx_6qawtMGysU/edit?usp=sharing"",""สบก!DN82"")"),0)</f>
        <v>0</v>
      </c>
      <c r="O337" s="101">
        <f ca="1">IF(L337&gt;0,N337*100/L337,0)</f>
        <v>0</v>
      </c>
      <c r="P337" s="101"/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IFERROR(__xludf.DUMMYFUNCTION("IMPORTRANGE(""https://docs.google.com/spreadsheets/d/1IYY_tgx_IHuhSq3AJ5eI5OnqOPBNLWSHKh2a30DoXe8/edit?usp=sharing"",""ชุมพร!I234"")"),0)</f>
        <v>0</v>
      </c>
      <c r="J339" s="194">
        <f ca="1">IFERROR(__xludf.DUMMYFUNCTION("IMPORTRANGE(""https://docs.google.com/spreadsheets/d/1IYY_tgx_IHuhSq3AJ5eI5OnqOPBNLWSHKh2a30DoXe8/edit?usp=sharing"",""ชุมพร!J234"")"),194)</f>
        <v>194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IFERROR(__xludf.DUMMYFUNCTION("IMPORTRANGE(""https://docs.google.com/spreadsheets/d/1IYY_tgx_IHuhSq3AJ5eI5OnqOPBNLWSHKh2a30DoXe8/edit?usp=sharing"",""ชุมพร!I235"")"),2510)</f>
        <v>2510</v>
      </c>
      <c r="J340" s="194">
        <f ca="1">IFERROR(__xludf.DUMMYFUNCTION("IMPORTRANGE(""https://docs.google.com/spreadsheets/d/1IYY_tgx_IHuhSq3AJ5eI5OnqOPBNLWSHKh2a30DoXe8/edit?usp=sharing"",""ชุมพร!J235"")"),1924.31)</f>
        <v>1924.31</v>
      </c>
      <c r="K340" s="348">
        <f t="shared" ca="1" si="103"/>
        <v>76.665737051792831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IFERROR(__xludf.DUMMYFUNCTION("IMPORTRANGE(""https://docs.google.com/spreadsheets/d/1IYY_tgx_IHuhSq3AJ5eI5OnqOPBNLWSHKh2a30DoXe8/edit?usp=sharing"",""ชุมพร!I236"")"),240)</f>
        <v>240</v>
      </c>
      <c r="J341" s="194">
        <f ca="1">IFERROR(__xludf.DUMMYFUNCTION("IMPORTRANGE(""https://docs.google.com/spreadsheets/d/1IYY_tgx_IHuhSq3AJ5eI5OnqOPBNLWSHKh2a30DoXe8/edit?usp=sharing"",""ชุมพร!J236"")"),291)</f>
        <v>291</v>
      </c>
      <c r="K341" s="348">
        <f t="shared" ca="1" si="103"/>
        <v>121.25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IFERROR(__xludf.DUMMYFUNCTION("IMPORTRANGE(""https://docs.google.com/spreadsheets/d/1IYY_tgx_IHuhSq3AJ5eI5OnqOPBNLWSHKh2a30DoXe8/edit?usp=sharing"",""ชุมพร!I237"")"),0)</f>
        <v>0</v>
      </c>
      <c r="J342" s="194">
        <f ca="1">IFERROR(__xludf.DUMMYFUNCTION("IMPORTRANGE(""https://docs.google.com/spreadsheets/d/1IYY_tgx_IHuhSq3AJ5eI5OnqOPBNLWSHKh2a30DoXe8/edit?usp=sharing"",""ชุมพร!J237"")"),3538.2)</f>
        <v>3538.2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IFERROR(__xludf.DUMMYFUNCTION("IMPORTRANGE(""https://docs.google.com/spreadsheets/d/1IYY_tgx_IHuhSq3AJ5eI5OnqOPBNLWSHKh2a30DoXe8/edit?usp=sharing"",""ชุมพร!I238"")"),240)</f>
        <v>240</v>
      </c>
      <c r="J343" s="194">
        <f ca="1">IFERROR(__xludf.DUMMYFUNCTION("IMPORTRANGE(""https://docs.google.com/spreadsheets/d/1IYY_tgx_IHuhSq3AJ5eI5OnqOPBNLWSHKh2a30DoXe8/edit?usp=sharing"",""ชุมพร!J238"")"),0)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IFERROR(__xludf.DUMMYFUNCTION("IMPORTRANGE(""https://docs.google.com/spreadsheets/d/1IYY_tgx_IHuhSq3AJ5eI5OnqOPBNLWSHKh2a30DoXe8/edit?usp=sharing"",""ชุมพร!I239"")"),0)</f>
        <v>0</v>
      </c>
      <c r="J344" s="194">
        <f ca="1">IFERROR(__xludf.DUMMYFUNCTION("IMPORTRANGE(""https://docs.google.com/spreadsheets/d/1IYY_tgx_IHuhSq3AJ5eI5OnqOPBNLWSHKh2a30DoXe8/edit?usp=sharing"",""ชุมพร!J239"")"),0)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IFERROR(__xludf.DUMMYFUNCTION("IMPORTRANGE(""https://docs.google.com/spreadsheets/d/1IYY_tgx_IHuhSq3AJ5eI5OnqOPBNLWSHKh2a30DoXe8/edit?usp=sharing"",""ชุมพร!I240"")"),240)</f>
        <v>240</v>
      </c>
      <c r="J345" s="194">
        <f ca="1">IFERROR(__xludf.DUMMYFUNCTION("IMPORTRANGE(""https://docs.google.com/spreadsheets/d/1IYY_tgx_IHuhSq3AJ5eI5OnqOPBNLWSHKh2a30DoXe8/edit?usp=sharing"",""ชุมพร!J240"")"),229)</f>
        <v>229</v>
      </c>
      <c r="K345" s="348">
        <f t="shared" ca="1" si="103"/>
        <v>95.416666666666671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IFERROR(__xludf.DUMMYFUNCTION("IMPORTRANGE(""https://docs.google.com/spreadsheets/d/1IYY_tgx_IHuhSq3AJ5eI5OnqOPBNLWSHKh2a30DoXe8/edit?usp=sharing"",""ชุมพร!I241"")"),0)</f>
        <v>0</v>
      </c>
      <c r="J346" s="194">
        <f ca="1">IFERROR(__xludf.DUMMYFUNCTION("IMPORTRANGE(""https://docs.google.com/spreadsheets/d/1IYY_tgx_IHuhSq3AJ5eI5OnqOPBNLWSHKh2a30DoXe8/edit?usp=sharing"",""ชุมพร!J241"")"),2822.56999999999)</f>
        <v>2822.5699999999902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IFERROR(__xludf.DUMMYFUNCTION("IMPORTRANGE(""https://docs.google.com/spreadsheets/d/1IYY_tgx_IHuhSq3AJ5eI5OnqOPBNLWSHKh2a30DoXe8/edit?usp=sharing"",""ชุมพร!L242"")"),2060097)</f>
        <v>2060097</v>
      </c>
      <c r="M347" s="364"/>
      <c r="N347" s="364">
        <f ca="1">IFERROR(__xludf.DUMMYFUNCTION("IMPORTRANGE(""https://docs.google.com/spreadsheets/d/1IYY_tgx_IHuhSq3AJ5eI5OnqOPBNLWSHKh2a30DoXe8/edit?usp=sharing"",""ชุมพร!M242"")"),1812194.15)</f>
        <v>1812194.15</v>
      </c>
      <c r="O347" s="364">
        <f ca="1">+IF(L347&gt;0,N347*100/L347,0)</f>
        <v>87.96644769639488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IFERROR(__xludf.DUMMYFUNCTION("IMPORTRANGE(""https://docs.google.com/spreadsheets/d/1IYY_tgx_IHuhSq3AJ5eI5OnqOPBNLWSHKh2a30DoXe8/edit?usp=sharing"",""ชุมพร!I244"")"),175)</f>
        <v>175</v>
      </c>
      <c r="J349" s="377">
        <f ca="1">IFERROR(__xludf.DUMMYFUNCTION("IMPORTRANGE(""https://docs.google.com/spreadsheets/d/1IYY_tgx_IHuhSq3AJ5eI5OnqOPBNLWSHKh2a30DoXe8/edit?usp=sharing"",""ชุมพร!J244"")"),175)</f>
        <v>175</v>
      </c>
      <c r="K349" s="378">
        <f t="shared" ref="K349:K350" ca="1" si="104">IF(I349&gt;0,J349*100/I349,0)</f>
        <v>100</v>
      </c>
      <c r="L349" s="379">
        <f ca="1">IFERROR(__xludf.DUMMYFUNCTION("IMPORTRANGE(""https://docs.google.com/spreadsheets/d/1IYY_tgx_IHuhSq3AJ5eI5OnqOPBNLWSHKh2a30DoXe8/edit?usp=sharing"",""ชุมพร!L244"")"),369210)</f>
        <v>369210</v>
      </c>
      <c r="M349" s="379"/>
      <c r="N349" s="379">
        <f ca="1">IFERROR(__xludf.DUMMYFUNCTION("IMPORTRANGE(""https://docs.google.com/spreadsheets/d/1IYY_tgx_IHuhSq3AJ5eI5OnqOPBNLWSHKh2a30DoXe8/edit?usp=sharing"",""ชุมพร!M244"")"),337911)</f>
        <v>337911</v>
      </c>
      <c r="O349" s="379">
        <f ca="1">+IF(L349&gt;0,N349*100/L349,0)</f>
        <v>91.522710652474203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IFERROR(__xludf.DUMMYFUNCTION("IMPORTRANGE(""https://docs.google.com/spreadsheets/d/1IYY_tgx_IHuhSq3AJ5eI5OnqOPBNLWSHKh2a30DoXe8/edit?usp=sharing"",""ชุมพร!I245"")"),35)</f>
        <v>35</v>
      </c>
      <c r="J350" s="377">
        <f ca="1">IFERROR(__xludf.DUMMYFUNCTION("IMPORTRANGE(""https://docs.google.com/spreadsheets/d/1IYY_tgx_IHuhSq3AJ5eI5OnqOPBNLWSHKh2a30DoXe8/edit?usp=sharing"",""ชุมพร!J245"")"),35)</f>
        <v>35</v>
      </c>
      <c r="K350" s="378">
        <f t="shared" ca="1" si="104"/>
        <v>100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IFERROR(__xludf.DUMMYFUNCTION("IMPORTRANGE(""https://docs.google.com/spreadsheets/d/1IYY_tgx_IHuhSq3AJ5eI5OnqOPBNLWSHKh2a30DoXe8/edit?usp=sharing"",""ชุมพร!L246"")"),0)</f>
        <v>0</v>
      </c>
      <c r="M351" s="168"/>
      <c r="N351" s="168">
        <f ca="1">IFERROR(__xludf.DUMMYFUNCTION("IMPORTRANGE(""https://docs.google.com/spreadsheets/d/1IYY_tgx_IHuhSq3AJ5eI5OnqOPBNLWSHKh2a30DoXe8/edit?usp=sharing"",""ชุมพร!M246"")"),0)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IFERROR(__xludf.DUMMYFUNCTION("IMPORTRANGE(""https://docs.google.com/spreadsheets/d/1IYY_tgx_IHuhSq3AJ5eI5OnqOPBNLWSHKh2a30DoXe8/edit?usp=sharing"",""ชุมพร!L247"")"),369210)</f>
        <v>369210</v>
      </c>
      <c r="M352" s="169"/>
      <c r="N352" s="168">
        <f ca="1">IFERROR(__xludf.DUMMYFUNCTION("IMPORTRANGE(""https://docs.google.com/spreadsheets/d/1IYY_tgx_IHuhSq3AJ5eI5OnqOPBNLWSHKh2a30DoXe8/edit?usp=sharing"",""ชุมพร!M247"")"),337911)</f>
        <v>337911</v>
      </c>
      <c r="O352" s="169">
        <f t="shared" ca="1" si="105"/>
        <v>91.522710652474203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IFERROR(__xludf.DUMMYFUNCTION("IMPORTRANGE(""https://docs.google.com/spreadsheets/d/1IYY_tgx_IHuhSq3AJ5eI5OnqOPBNLWSHKh2a30DoXe8/edit?usp=sharing"",""ชุมพร!L248"")"),0)</f>
        <v>0</v>
      </c>
      <c r="M353" s="175"/>
      <c r="N353" s="175">
        <f ca="1">IFERROR(__xludf.DUMMYFUNCTION("IMPORTRANGE(""https://docs.google.com/spreadsheets/d/1IYY_tgx_IHuhSq3AJ5eI5OnqOPBNLWSHKh2a30DoXe8/edit?usp=sharing"",""ชุมพร!M248"")"),0)</f>
        <v>0</v>
      </c>
      <c r="O353" s="175">
        <f t="shared" ca="1" si="105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IFERROR(__xludf.DUMMYFUNCTION("IMPORTRANGE(""https://docs.google.com/spreadsheets/d/1IYY_tgx_IHuhSq3AJ5eI5OnqOPBNLWSHKh2a30DoXe8/edit?usp=sharing"",""ชุมพร!L249"")"),369210)</f>
        <v>369210</v>
      </c>
      <c r="M354" s="175"/>
      <c r="N354" s="172">
        <f ca="1">IFERROR(__xludf.DUMMYFUNCTION("IMPORTRANGE(""https://docs.google.com/spreadsheets/d/1IYY_tgx_IHuhSq3AJ5eI5OnqOPBNLWSHKh2a30DoXe8/edit?usp=sharing"",""ชุมพร!M249"")"),337911)</f>
        <v>337911</v>
      </c>
      <c r="O354" s="175">
        <f t="shared" ca="1" si="105"/>
        <v>91.522710652474203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IFERROR(__xludf.DUMMYFUNCTION("IMPORTRANGE(""https://docs.google.com/spreadsheets/d/1IYY_tgx_IHuhSq3AJ5eI5OnqOPBNLWSHKh2a30DoXe8/edit?usp=sharing"",""ชุมพร!M250"")"),58706)</f>
        <v>58706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IFERROR(__xludf.DUMMYFUNCTION("IMPORTRANGE(""https://docs.google.com/spreadsheets/d/1IYY_tgx_IHuhSq3AJ5eI5OnqOPBNLWSHKh2a30DoXe8/edit?usp=sharing"",""ชุมพร!M251"")"),147500)</f>
        <v>147500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IFERROR(__xludf.DUMMYFUNCTION("IMPORTRANGE(""https://docs.google.com/spreadsheets/d/1IYY_tgx_IHuhSq3AJ5eI5OnqOPBNLWSHKh2a30DoXe8/edit?usp=sharing"",""ชุมพร!M252"")"),49660)</f>
        <v>49660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IFERROR(__xludf.DUMMYFUNCTION("IMPORTRANGE(""https://docs.google.com/spreadsheets/d/1IYY_tgx_IHuhSq3AJ5eI5OnqOPBNLWSHKh2a30DoXe8/edit?usp=sharing"",""ชุมพร!M253"")"),82045)</f>
        <v>82045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IFERROR(__xludf.DUMMYFUNCTION("IMPORTRANGE(""https://docs.google.com/spreadsheets/d/1IYY_tgx_IHuhSq3AJ5eI5OnqOPBNLWSHKh2a30DoXe8/edit?usp=sharing"",""ชุมพร!J255"")"),0)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IFERROR(__xludf.DUMMYFUNCTION("IMPORTRANGE(""https://docs.google.com/spreadsheets/d/1IYY_tgx_IHuhSq3AJ5eI5OnqOPBNLWSHKh2a30DoXe8/edit?usp=sharing"",""ชุมพร!J256"")"),1)</f>
        <v>1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IFERROR(__xludf.DUMMYFUNCTION("IMPORTRANGE(""https://docs.google.com/spreadsheets/d/1IYY_tgx_IHuhSq3AJ5eI5OnqOPBNLWSHKh2a30DoXe8/edit?usp=sharing"",""ชุมพร!J257"")"),1)</f>
        <v>1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IFERROR(__xludf.DUMMYFUNCTION("IMPORTRANGE(""https://docs.google.com/spreadsheets/d/1IYY_tgx_IHuhSq3AJ5eI5OnqOPBNLWSHKh2a30DoXe8/edit?usp=sharing"",""ชุมพร!J258"")"),1)</f>
        <v>1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IFERROR(__xludf.DUMMYFUNCTION("IMPORTRANGE(""https://docs.google.com/spreadsheets/d/1IYY_tgx_IHuhSq3AJ5eI5OnqOPBNLWSHKh2a30DoXe8/edit?usp=sharing"",""ชุมพร!J166"")"),0)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IFERROR(__xludf.DUMMYFUNCTION("IMPORTRANGE(""https://docs.google.com/spreadsheets/d/1IYY_tgx_IHuhSq3AJ5eI5OnqOPBNLWSHKh2a30DoXe8/edit?usp=sharing"",""ชุมพร!J166"")"),0)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IFERROR(__xludf.DUMMYFUNCTION("IMPORTRANGE(""https://docs.google.com/spreadsheets/d/1IYY_tgx_IHuhSq3AJ5eI5OnqOPBNLWSHKh2a30DoXe8/edit?usp=sharing"",""ชุมพร!J166"")"),0)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IFERROR(__xludf.DUMMYFUNCTION("IMPORTRANGE(""https://docs.google.com/spreadsheets/d/1IYY_tgx_IHuhSq3AJ5eI5OnqOPBNLWSHKh2a30DoXe8/edit?usp=sharing"",""ชุมพร!J166"")"),0)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IFERROR(__xludf.DUMMYFUNCTION("IMPORTRANGE(""https://docs.google.com/spreadsheets/d/1IYY_tgx_IHuhSq3AJ5eI5OnqOPBNLWSHKh2a30DoXe8/edit?usp=sharing"",""ชุมพร!I263"")"),35)</f>
        <v>35</v>
      </c>
      <c r="J368" s="194">
        <f ca="1">IFERROR(__xludf.DUMMYFUNCTION("IMPORTRANGE(""https://docs.google.com/spreadsheets/d/1IYY_tgx_IHuhSq3AJ5eI5OnqOPBNLWSHKh2a30DoXe8/edit?usp=sharing"",""ชุมพร!J263"")"),35)</f>
        <v>35</v>
      </c>
      <c r="K368" s="167">
        <f t="shared" ca="1" si="106"/>
        <v>100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IFERROR(__xludf.DUMMYFUNCTION("IMPORTRANGE(""https://docs.google.com/spreadsheets/d/1IYY_tgx_IHuhSq3AJ5eI5OnqOPBNLWSHKh2a30DoXe8/edit?usp=sharing"",""ชุมพร!I164"")"),0)</f>
        <v>0</v>
      </c>
      <c r="J369" s="210">
        <f ca="1">IFERROR(__xludf.DUMMYFUNCTION("IMPORTRANGE(""https://docs.google.com/spreadsheets/d/1IYY_tgx_IHuhSq3AJ5eI5OnqOPBNLWSHKh2a30DoXe8/edit?usp=sharing"",""ชุมพร!J164"")"),0)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IFERROR(__xludf.DUMMYFUNCTION("IMPORTRANGE(""https://docs.google.com/spreadsheets/d/1IYY_tgx_IHuhSq3AJ5eI5OnqOPBNLWSHKh2a30DoXe8/edit?usp=sharing"",""ชุมพร!I265"")"),35)</f>
        <v>35</v>
      </c>
      <c r="J370" s="210">
        <f ca="1">IFERROR(__xludf.DUMMYFUNCTION("IMPORTRANGE(""https://docs.google.com/spreadsheets/d/1IYY_tgx_IHuhSq3AJ5eI5OnqOPBNLWSHKh2a30DoXe8/edit?usp=sharing"",""ชุมพร!J265"")"),35)</f>
        <v>35</v>
      </c>
      <c r="K370" s="167">
        <f t="shared" ca="1" si="106"/>
        <v>100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IFERROR(__xludf.DUMMYFUNCTION("IMPORTRANGE(""https://docs.google.com/spreadsheets/d/1IYY_tgx_IHuhSq3AJ5eI5OnqOPBNLWSHKh2a30DoXe8/edit?usp=sharing"",""ชุมพร!I164"")"),0)</f>
        <v>0</v>
      </c>
      <c r="J371" s="195">
        <f ca="1">IFERROR(__xludf.DUMMYFUNCTION("IMPORTRANGE(""https://docs.google.com/spreadsheets/d/1IYY_tgx_IHuhSq3AJ5eI5OnqOPBNLWSHKh2a30DoXe8/edit?usp=sharing"",""ชุมพร!J164"")"),0)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IFERROR(__xludf.DUMMYFUNCTION("IMPORTRANGE(""https://docs.google.com/spreadsheets/d/1IYY_tgx_IHuhSq3AJ5eI5OnqOPBNLWSHKh2a30DoXe8/edit?usp=sharing"",""ชุมพร!I267"")"),35)</f>
        <v>35</v>
      </c>
      <c r="J372" s="195">
        <f ca="1">IFERROR(__xludf.DUMMYFUNCTION("IMPORTRANGE(""https://docs.google.com/spreadsheets/d/1IYY_tgx_IHuhSq3AJ5eI5OnqOPBNLWSHKh2a30DoXe8/edit?usp=sharing"",""ชุมพร!J267"")"),35)</f>
        <v>35</v>
      </c>
      <c r="K372" s="167">
        <f t="shared" ca="1" si="106"/>
        <v>100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IFERROR(__xludf.DUMMYFUNCTION("IMPORTRANGE(""https://docs.google.com/spreadsheets/d/1IYY_tgx_IHuhSq3AJ5eI5OnqOPBNLWSHKh2a30DoXe8/edit?usp=sharing"",""ชุมพร!I164"")"),0)</f>
        <v>0</v>
      </c>
      <c r="J373" s="210">
        <f ca="1">IFERROR(__xludf.DUMMYFUNCTION("IMPORTRANGE(""https://docs.google.com/spreadsheets/d/1IYY_tgx_IHuhSq3AJ5eI5OnqOPBNLWSHKh2a30DoXe8/edit?usp=sharing"",""ชุมพร!J164"")"),0)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IFERROR(__xludf.DUMMYFUNCTION("IMPORTRANGE(""https://docs.google.com/spreadsheets/d/1IYY_tgx_IHuhSq3AJ5eI5OnqOPBNLWSHKh2a30DoXe8/edit?usp=sharing"",""ชุมพร!I164"")"),0)</f>
        <v>0</v>
      </c>
      <c r="J374" s="194">
        <f ca="1">IFERROR(__xludf.DUMMYFUNCTION("IMPORTRANGE(""https://docs.google.com/spreadsheets/d/1IYY_tgx_IHuhSq3AJ5eI5OnqOPBNLWSHKh2a30DoXe8/edit?usp=sharing"",""ชุมพร!J164"")"),0)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IFERROR(__xludf.DUMMYFUNCTION("IMPORTRANGE(""https://docs.google.com/spreadsheets/d/1IYY_tgx_IHuhSq3AJ5eI5OnqOPBNLWSHKh2a30DoXe8/edit?usp=sharing"",""ชุมพร!I270"")"),175)</f>
        <v>175</v>
      </c>
      <c r="J375" s="194">
        <f ca="1">IFERROR(__xludf.DUMMYFUNCTION("IMPORTRANGE(""https://docs.google.com/spreadsheets/d/1IYY_tgx_IHuhSq3AJ5eI5OnqOPBNLWSHKh2a30DoXe8/edit?usp=sharing"",""ชุมพร!J270"")"),175)</f>
        <v>175</v>
      </c>
      <c r="K375" s="167">
        <f t="shared" ref="K375:K377" ca="1" si="107">IF(I375&gt;0,J375*100/I375,0)</f>
        <v>100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IFERROR(__xludf.DUMMYFUNCTION("IMPORTRANGE(""https://docs.google.com/spreadsheets/d/1IYY_tgx_IHuhSq3AJ5eI5OnqOPBNLWSHKh2a30DoXe8/edit?usp=sharing"",""ชุมพร!I271"")"),50)</f>
        <v>50</v>
      </c>
      <c r="J376" s="195">
        <f ca="1">IFERROR(__xludf.DUMMYFUNCTION("IMPORTRANGE(""https://docs.google.com/spreadsheets/d/1IYY_tgx_IHuhSq3AJ5eI5OnqOPBNLWSHKh2a30DoXe8/edit?usp=sharing"",""ชุมพร!J271"")"),50)</f>
        <v>50</v>
      </c>
      <c r="K376" s="167">
        <f t="shared" ca="1" si="107"/>
        <v>100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IFERROR(__xludf.DUMMYFUNCTION("IMPORTRANGE(""https://docs.google.com/spreadsheets/d/1IYY_tgx_IHuhSq3AJ5eI5OnqOPBNLWSHKh2a30DoXe8/edit?usp=sharing"",""ชุมพร!I272"")"),125)</f>
        <v>125</v>
      </c>
      <c r="J377" s="210">
        <f ca="1">IFERROR(__xludf.DUMMYFUNCTION("IMPORTRANGE(""https://docs.google.com/spreadsheets/d/1IYY_tgx_IHuhSq3AJ5eI5OnqOPBNLWSHKh2a30DoXe8/edit?usp=sharing"",""ชุมพร!J272"")"),125)</f>
        <v>125</v>
      </c>
      <c r="K377" s="167">
        <f t="shared" ca="1" si="107"/>
        <v>100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IFERROR(__xludf.DUMMYFUNCTION("IMPORTRANGE(""https://docs.google.com/spreadsheets/d/1IYY_tgx_IHuhSq3AJ5eI5OnqOPBNLWSHKh2a30DoXe8/edit?usp=sharing"",""ชุมพร!J273"")"),0)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IFERROR(__xludf.DUMMYFUNCTION("IMPORTRANGE(""https://docs.google.com/spreadsheets/d/1IYY_tgx_IHuhSq3AJ5eI5OnqOPBNLWSHKh2a30DoXe8/edit?usp=sharing"",""ชุมพร!J274"")"),0)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IFERROR(__xludf.DUMMYFUNCTION("IMPORTRANGE(""https://docs.google.com/spreadsheets/d/1IYY_tgx_IHuhSq3AJ5eI5OnqOPBNLWSHKh2a30DoXe8/edit?usp=sharing"",""ชุมพร!I275"")"),500)</f>
        <v>500</v>
      </c>
      <c r="J380" s="377">
        <f ca="1">IFERROR(__xludf.DUMMYFUNCTION("IMPORTRANGE(""https://docs.google.com/spreadsheets/d/1IYY_tgx_IHuhSq3AJ5eI5OnqOPBNLWSHKh2a30DoXe8/edit?usp=sharing"",""ชุมพร!J275"")"),500)</f>
        <v>500</v>
      </c>
      <c r="K380" s="378">
        <f t="shared" ref="K380:K381" ca="1" si="108">IF(I380&gt;0,J380*100/I380,0)</f>
        <v>100</v>
      </c>
      <c r="L380" s="379">
        <f ca="1">IFERROR(__xludf.DUMMYFUNCTION("IMPORTRANGE(""https://docs.google.com/spreadsheets/d/1IYY_tgx_IHuhSq3AJ5eI5OnqOPBNLWSHKh2a30DoXe8/edit?usp=sharing"",""ชุมพร!L275"")"),460140)</f>
        <v>460140</v>
      </c>
      <c r="M380" s="379"/>
      <c r="N380" s="379">
        <f ca="1">IFERROR(__xludf.DUMMYFUNCTION("IMPORTRANGE(""https://docs.google.com/spreadsheets/d/1IYY_tgx_IHuhSq3AJ5eI5OnqOPBNLWSHKh2a30DoXe8/edit?usp=sharing"",""ชุมพร!M275"")"),460140)</f>
        <v>460140</v>
      </c>
      <c r="O380" s="379">
        <f ca="1">+IF(L380&gt;0,N380*100/L380,0)</f>
        <v>100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IFERROR(__xludf.DUMMYFUNCTION("IMPORTRANGE(""https://docs.google.com/spreadsheets/d/1IYY_tgx_IHuhSq3AJ5eI5OnqOPBNLWSHKh2a30DoXe8/edit?usp=sharing"",""ชุมพร!I276"")"),50)</f>
        <v>50</v>
      </c>
      <c r="J381" s="377">
        <f ca="1">IFERROR(__xludf.DUMMYFUNCTION("IMPORTRANGE(""https://docs.google.com/spreadsheets/d/1IYY_tgx_IHuhSq3AJ5eI5OnqOPBNLWSHKh2a30DoXe8/edit?usp=sharing"",""ชุมพร!J276"")"),50)</f>
        <v>50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IFERROR(__xludf.DUMMYFUNCTION("IMPORTRANGE(""https://docs.google.com/spreadsheets/d/1IYY_tgx_IHuhSq3AJ5eI5OnqOPBNLWSHKh2a30DoXe8/edit?usp=sharing"",""ชุมพร!L277"")"),0)</f>
        <v>0</v>
      </c>
      <c r="M382" s="168"/>
      <c r="N382" s="168">
        <f ca="1">IFERROR(__xludf.DUMMYFUNCTION("IMPORTRANGE(""https://docs.google.com/spreadsheets/d/1IYY_tgx_IHuhSq3AJ5eI5OnqOPBNLWSHKh2a30DoXe8/edit?usp=sharing"",""ชุมพร!M277"")"),0)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IFERROR(__xludf.DUMMYFUNCTION("IMPORTRANGE(""https://docs.google.com/spreadsheets/d/1IYY_tgx_IHuhSq3AJ5eI5OnqOPBNLWSHKh2a30DoXe8/edit?usp=sharing"",""ชุมพร!L278"")"),460140)</f>
        <v>460140</v>
      </c>
      <c r="M383" s="169"/>
      <c r="N383" s="169">
        <f ca="1">IFERROR(__xludf.DUMMYFUNCTION("IMPORTRANGE(""https://docs.google.com/spreadsheets/d/1IYY_tgx_IHuhSq3AJ5eI5OnqOPBNLWSHKh2a30DoXe8/edit?usp=sharing"",""ชุมพร!M278"")"),460140)</f>
        <v>460140</v>
      </c>
      <c r="O383" s="169">
        <f t="shared" ca="1" si="109"/>
        <v>100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IFERROR(__xludf.DUMMYFUNCTION("IMPORTRANGE(""https://docs.google.com/spreadsheets/d/1IYY_tgx_IHuhSq3AJ5eI5OnqOPBNLWSHKh2a30DoXe8/edit?usp=sharing"",""ชุมพร!L279"")"),0)</f>
        <v>0</v>
      </c>
      <c r="M384" s="175"/>
      <c r="N384" s="175">
        <f ca="1">IFERROR(__xludf.DUMMYFUNCTION("IMPORTRANGE(""https://docs.google.com/spreadsheets/d/1IYY_tgx_IHuhSq3AJ5eI5OnqOPBNLWSHKh2a30DoXe8/edit?usp=sharing"",""ชุมพร!M279"")"),0)</f>
        <v>0</v>
      </c>
      <c r="O384" s="175">
        <f t="shared" ca="1" si="109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IFERROR(__xludf.DUMMYFUNCTION("IMPORTRANGE(""https://docs.google.com/spreadsheets/d/1IYY_tgx_IHuhSq3AJ5eI5OnqOPBNLWSHKh2a30DoXe8/edit?usp=sharing"",""ชุมพร!L280"")"),460140)</f>
        <v>460140</v>
      </c>
      <c r="M385" s="175"/>
      <c r="N385" s="172">
        <f ca="1">IFERROR(__xludf.DUMMYFUNCTION("IMPORTRANGE(""https://docs.google.com/spreadsheets/d/1IYY_tgx_IHuhSq3AJ5eI5OnqOPBNLWSHKh2a30DoXe8/edit?usp=sharing"",""ชุมพร!M280"")"),460140)</f>
        <v>460140</v>
      </c>
      <c r="O385" s="175">
        <f t="shared" ca="1" si="109"/>
        <v>100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IFERROR(__xludf.DUMMYFUNCTION("IMPORTRANGE(""https://docs.google.com/spreadsheets/d/1IYY_tgx_IHuhSq3AJ5eI5OnqOPBNLWSHKh2a30DoXe8/edit?usp=sharing"",""ชุมพร!M281"")"),111000)</f>
        <v>111000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IFERROR(__xludf.DUMMYFUNCTION("IMPORTRANGE(""https://docs.google.com/spreadsheets/d/1IYY_tgx_IHuhSq3AJ5eI5OnqOPBNLWSHKh2a30DoXe8/edit?usp=sharing"",""ชุมพร!M282"")"),312500)</f>
        <v>312500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IFERROR(__xludf.DUMMYFUNCTION("IMPORTRANGE(""https://docs.google.com/spreadsheets/d/1IYY_tgx_IHuhSq3AJ5eI5OnqOPBNLWSHKh2a30DoXe8/edit?usp=sharing"",""ชุมพร!M283"")"),0)</f>
        <v>0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IFERROR(__xludf.DUMMYFUNCTION("IMPORTRANGE(""https://docs.google.com/spreadsheets/d/1IYY_tgx_IHuhSq3AJ5eI5OnqOPBNLWSHKh2a30DoXe8/edit?usp=sharing"",""ชุมพร!M284"")"),36640)</f>
        <v>36640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IFERROR(__xludf.DUMMYFUNCTION("IMPORTRANGE(""https://docs.google.com/spreadsheets/d/1IYY_tgx_IHuhSq3AJ5eI5OnqOPBNLWSHKh2a30DoXe8/edit?usp=sharing"",""ชุมพร!J286"")"),0)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IFERROR(__xludf.DUMMYFUNCTION("IMPORTRANGE(""https://docs.google.com/spreadsheets/d/1IYY_tgx_IHuhSq3AJ5eI5OnqOPBNLWSHKh2a30DoXe8/edit?usp=sharing"",""ชุมพร!J287"")"),1)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IFERROR(__xludf.DUMMYFUNCTION("IMPORTRANGE(""https://docs.google.com/spreadsheets/d/1IYY_tgx_IHuhSq3AJ5eI5OnqOPBNLWSHKh2a30DoXe8/edit?usp=sharing"",""ชุมพร!J288"")"),1)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IFERROR(__xludf.DUMMYFUNCTION("IMPORTRANGE(""https://docs.google.com/spreadsheets/d/1IYY_tgx_IHuhSq3AJ5eI5OnqOPBNLWSHKh2a30DoXe8/edit?usp=sharing"",""ชุมพร!J289"")"),1)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IFERROR(__xludf.DUMMYFUNCTION("IMPORTRANGE(""https://docs.google.com/spreadsheets/d/1IYY_tgx_IHuhSq3AJ5eI5OnqOPBNLWSHKh2a30DoXe8/edit?usp=sharing"",""ชุมพร!I291"")"),50)</f>
        <v>50</v>
      </c>
      <c r="J396" s="204">
        <f ca="1">IFERROR(__xludf.DUMMYFUNCTION("IMPORTRANGE(""https://docs.google.com/spreadsheets/d/1IYY_tgx_IHuhSq3AJ5eI5OnqOPBNLWSHKh2a30DoXe8/edit?usp=sharing"",""ชุมพร!J291"")"),50)</f>
        <v>50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IFERROR(__xludf.DUMMYFUNCTION("IMPORTRANGE(""https://docs.google.com/spreadsheets/d/1IYY_tgx_IHuhSq3AJ5eI5OnqOPBNLWSHKh2a30DoXe8/edit?usp=sharing"",""ชุมพร!I292"")"),500)</f>
        <v>500</v>
      </c>
      <c r="J397" s="204">
        <f ca="1">IFERROR(__xludf.DUMMYFUNCTION("IMPORTRANGE(""https://docs.google.com/spreadsheets/d/1IYY_tgx_IHuhSq3AJ5eI5OnqOPBNLWSHKh2a30DoXe8/edit?usp=sharing"",""ชุมพร!J292"")"),500)</f>
        <v>500</v>
      </c>
      <c r="K397" s="167">
        <f t="shared" ca="1" si="110"/>
        <v>100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IFERROR(__xludf.DUMMYFUNCTION("IMPORTRANGE(""https://docs.google.com/spreadsheets/d/1IYY_tgx_IHuhSq3AJ5eI5OnqOPBNLWSHKh2a30DoXe8/edit?usp=sharing"",""ชุมพร!I293"")"),50)</f>
        <v>50</v>
      </c>
      <c r="J398" s="204">
        <f ca="1">IFERROR(__xludf.DUMMYFUNCTION("IMPORTRANGE(""https://docs.google.com/spreadsheets/d/1IYY_tgx_IHuhSq3AJ5eI5OnqOPBNLWSHKh2a30DoXe8/edit?usp=sharing"",""ชุมพร!J293"")"),50)</f>
        <v>50</v>
      </c>
      <c r="K398" s="167">
        <f t="shared" ca="1" si="110"/>
        <v>100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IFERROR(__xludf.DUMMYFUNCTION("IMPORTRANGE(""https://docs.google.com/spreadsheets/d/1IYY_tgx_IHuhSq3AJ5eI5OnqOPBNLWSHKh2a30DoXe8/edit?usp=sharing"",""ชุมพร!J294"")"),0)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IFERROR(__xludf.DUMMYFUNCTION("IMPORTRANGE(""https://docs.google.com/spreadsheets/d/1IYY_tgx_IHuhSq3AJ5eI5OnqOPBNLWSHKh2a30DoXe8/edit?usp=sharing"",""ชุมพร!J295"")"),0)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IFERROR(__xludf.DUMMYFUNCTION("IMPORTRANGE(""https://docs.google.com/spreadsheets/d/1IYY_tgx_IHuhSq3AJ5eI5OnqOPBNLWSHKh2a30DoXe8/edit?usp=sharing"",""ชุมพร!I296"")"),135)</f>
        <v>135</v>
      </c>
      <c r="J401" s="377">
        <f ca="1">IFERROR(__xludf.DUMMYFUNCTION("IMPORTRANGE(""https://docs.google.com/spreadsheets/d/1IYY_tgx_IHuhSq3AJ5eI5OnqOPBNLWSHKh2a30DoXe8/edit?usp=sharing"",""ชุมพร!J296"")"),135)</f>
        <v>135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IFERROR(__xludf.DUMMYFUNCTION("IMPORTRANGE(""https://docs.google.com/spreadsheets/d/1IYY_tgx_IHuhSq3AJ5eI5OnqOPBNLWSHKh2a30DoXe8/edit?usp=sharing"",""ชุมพร!L296"")"),159950)</f>
        <v>159950</v>
      </c>
      <c r="M401" s="379"/>
      <c r="N401" s="379">
        <f ca="1">IFERROR(__xludf.DUMMYFUNCTION("IMPORTRANGE(""https://docs.google.com/spreadsheets/d/1IYY_tgx_IHuhSq3AJ5eI5OnqOPBNLWSHKh2a30DoXe8/edit?usp=sharing"",""ชุมพร!M296"")"),159950)</f>
        <v>159950</v>
      </c>
      <c r="O401" s="379">
        <f ca="1">+IF(L401&gt;0,N401*100/L401,0)</f>
        <v>100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IFERROR(__xludf.DUMMYFUNCTION("IMPORTRANGE(""https://docs.google.com/spreadsheets/d/1IYY_tgx_IHuhSq3AJ5eI5OnqOPBNLWSHKh2a30DoXe8/edit?usp=sharing"",""ชุมพร!I297"")"),45)</f>
        <v>45</v>
      </c>
      <c r="J402" s="377">
        <f ca="1">IFERROR(__xludf.DUMMYFUNCTION("IMPORTRANGE(""https://docs.google.com/spreadsheets/d/1IYY_tgx_IHuhSq3AJ5eI5OnqOPBNLWSHKh2a30DoXe8/edit?usp=sharing"",""ชุมพร!J297"")"),45)</f>
        <v>45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IFERROR(__xludf.DUMMYFUNCTION("IMPORTRANGE(""https://docs.google.com/spreadsheets/d/1IYY_tgx_IHuhSq3AJ5eI5OnqOPBNLWSHKh2a30DoXe8/edit?usp=sharing"",""ชุมพร!L298"")"),0)</f>
        <v>0</v>
      </c>
      <c r="M403" s="168"/>
      <c r="N403" s="175">
        <f ca="1">IFERROR(__xludf.DUMMYFUNCTION("IMPORTRANGE(""https://docs.google.com/spreadsheets/d/1IYY_tgx_IHuhSq3AJ5eI5OnqOPBNLWSHKh2a30DoXe8/edit?usp=sharing"",""ชุมพร!M298"")"),0)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IFERROR(__xludf.DUMMYFUNCTION("IMPORTRANGE(""https://docs.google.com/spreadsheets/d/1IYY_tgx_IHuhSq3AJ5eI5OnqOPBNLWSHKh2a30DoXe8/edit?usp=sharing"",""ชุมพร!L299"")"),159950)</f>
        <v>159950</v>
      </c>
      <c r="M404" s="169"/>
      <c r="N404" s="175">
        <f ca="1">IFERROR(__xludf.DUMMYFUNCTION("IMPORTRANGE(""https://docs.google.com/spreadsheets/d/1IYY_tgx_IHuhSq3AJ5eI5OnqOPBNLWSHKh2a30DoXe8/edit?usp=sharing"",""ชุมพร!M299"")"),159950)</f>
        <v>159950</v>
      </c>
      <c r="O404" s="175">
        <f t="shared" ca="1" si="112"/>
        <v>100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IFERROR(__xludf.DUMMYFUNCTION("IMPORTRANGE(""https://docs.google.com/spreadsheets/d/1IYY_tgx_IHuhSq3AJ5eI5OnqOPBNLWSHKh2a30DoXe8/edit?usp=sharing"",""ชุมพร!L300"")"),0)</f>
        <v>0</v>
      </c>
      <c r="M405" s="175"/>
      <c r="N405" s="175">
        <f ca="1">IFERROR(__xludf.DUMMYFUNCTION("IMPORTRANGE(""https://docs.google.com/spreadsheets/d/1IYY_tgx_IHuhSq3AJ5eI5OnqOPBNLWSHKh2a30DoXe8/edit?usp=sharing"",""ชุมพร!M300"")"),0)</f>
        <v>0</v>
      </c>
      <c r="O405" s="175">
        <f t="shared" ca="1" si="112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IFERROR(__xludf.DUMMYFUNCTION("IMPORTRANGE(""https://docs.google.com/spreadsheets/d/1IYY_tgx_IHuhSq3AJ5eI5OnqOPBNLWSHKh2a30DoXe8/edit?usp=sharing"",""ชุมพร!L301"")"),159950)</f>
        <v>159950</v>
      </c>
      <c r="M406" s="175"/>
      <c r="N406" s="175">
        <f ca="1">IFERROR(__xludf.DUMMYFUNCTION("IMPORTRANGE(""https://docs.google.com/spreadsheets/d/1IYY_tgx_IHuhSq3AJ5eI5OnqOPBNLWSHKh2a30DoXe8/edit?usp=sharing"",""ชุมพร!M301"")"),159950)</f>
        <v>159950</v>
      </c>
      <c r="O406" s="175">
        <f t="shared" ca="1" si="112"/>
        <v>100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IFERROR(__xludf.DUMMYFUNCTION("IMPORTRANGE(""https://docs.google.com/spreadsheets/d/1IYY_tgx_IHuhSq3AJ5eI5OnqOPBNLWSHKh2a30DoXe8/edit?usp=sharing"",""ชุมพร!M302"")"),97550)</f>
        <v>97550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IFERROR(__xludf.DUMMYFUNCTION("IMPORTRANGE(""https://docs.google.com/spreadsheets/d/1IYY_tgx_IHuhSq3AJ5eI5OnqOPBNLWSHKh2a30DoXe8/edit?usp=sharing"",""ชุมพร!M303"")"),32500)</f>
        <v>32500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IFERROR(__xludf.DUMMYFUNCTION("IMPORTRANGE(""https://docs.google.com/spreadsheets/d/1IYY_tgx_IHuhSq3AJ5eI5OnqOPBNLWSHKh2a30DoXe8/edit?usp=sharing"",""ชุมพร!M304"")"),0)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IFERROR(__xludf.DUMMYFUNCTION("IMPORTRANGE(""https://docs.google.com/spreadsheets/d/1IYY_tgx_IHuhSq3AJ5eI5OnqOPBNLWSHKh2a30DoXe8/edit?usp=sharing"",""ชุมพร!M305"")"),29900)</f>
        <v>29900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IFERROR(__xludf.DUMMYFUNCTION("IMPORTRANGE(""https://docs.google.com/spreadsheets/d/1IYY_tgx_IHuhSq3AJ5eI5OnqOPBNLWSHKh2a30DoXe8/edit?usp=sharing"",""ชุมพร!J307"")"),0)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IFERROR(__xludf.DUMMYFUNCTION("IMPORTRANGE(""https://docs.google.com/spreadsheets/d/1IYY_tgx_IHuhSq3AJ5eI5OnqOPBNLWSHKh2a30DoXe8/edit?usp=sharing"",""ชุมพร!J308"")"),1)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IFERROR(__xludf.DUMMYFUNCTION("IMPORTRANGE(""https://docs.google.com/spreadsheets/d/1IYY_tgx_IHuhSq3AJ5eI5OnqOPBNLWSHKh2a30DoXe8/edit?usp=sharing"",""ชุมพร!J309"")"),1)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IFERROR(__xludf.DUMMYFUNCTION("IMPORTRANGE(""https://docs.google.com/spreadsheets/d/1IYY_tgx_IHuhSq3AJ5eI5OnqOPBNLWSHKh2a30DoXe8/edit?usp=sharing"",""ชุมพร!J310"")"),1)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IFERROR(__xludf.DUMMYFUNCTION("IMPORTRANGE(""https://docs.google.com/spreadsheets/d/1IYY_tgx_IHuhSq3AJ5eI5OnqOPBNLWSHKh2a30DoXe8/edit?usp=sharing"",""ชุมพร!I311"")"),45)</f>
        <v>45</v>
      </c>
      <c r="J416" s="207">
        <f ca="1">IFERROR(__xludf.DUMMYFUNCTION("IMPORTRANGE(""https://docs.google.com/spreadsheets/d/1IYY_tgx_IHuhSq3AJ5eI5OnqOPBNLWSHKh2a30DoXe8/edit?usp=sharing"",""ชุมพร!J311"")"),45)</f>
        <v>45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IFERROR(__xludf.DUMMYFUNCTION("IMPORTRANGE(""https://docs.google.com/spreadsheets/d/1IYY_tgx_IHuhSq3AJ5eI5OnqOPBNLWSHKh2a30DoXe8/edit?usp=sharing"",""ชุมพร!I312"")"),10)</f>
        <v>10</v>
      </c>
      <c r="J417" s="398">
        <f ca="1">IFERROR(__xludf.DUMMYFUNCTION("IMPORTRANGE(""https://docs.google.com/spreadsheets/d/1IYY_tgx_IHuhSq3AJ5eI5OnqOPBNLWSHKh2a30DoXe8/edit?usp=sharing"",""ชุมพร!J312"")"),10)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IFERROR(__xludf.DUMMYFUNCTION("IMPORTRANGE(""https://docs.google.com/spreadsheets/d/1IYY_tgx_IHuhSq3AJ5eI5OnqOPBNLWSHKh2a30DoXe8/edit?usp=sharing"",""ชุมพร!I313"")"),30)</f>
        <v>30</v>
      </c>
      <c r="J418" s="399">
        <f ca="1">IFERROR(__xludf.DUMMYFUNCTION("IMPORTRANGE(""https://docs.google.com/spreadsheets/d/1IYY_tgx_IHuhSq3AJ5eI5OnqOPBNLWSHKh2a30DoXe8/edit?usp=sharing"",""ชุมพร!J313"")"),30)</f>
        <v>30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IFERROR(__xludf.DUMMYFUNCTION("IMPORTRANGE(""https://docs.google.com/spreadsheets/d/1IYY_tgx_IHuhSq3AJ5eI5OnqOPBNLWSHKh2a30DoXe8/edit?usp=sharing"",""ชุมพร!I314"")"),10)</f>
        <v>10</v>
      </c>
      <c r="J419" s="400">
        <f ca="1">IFERROR(__xludf.DUMMYFUNCTION("IMPORTRANGE(""https://docs.google.com/spreadsheets/d/1IYY_tgx_IHuhSq3AJ5eI5OnqOPBNLWSHKh2a30DoXe8/edit?usp=sharing"",""ชุมพร!J314"")"),10)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IFERROR(__xludf.DUMMYFUNCTION("IMPORTRANGE(""https://docs.google.com/spreadsheets/d/1IYY_tgx_IHuhSq3AJ5eI5OnqOPBNLWSHKh2a30DoXe8/edit?usp=sharing"",""ชุมพร!I315"")"),10)</f>
        <v>10</v>
      </c>
      <c r="J420" s="400">
        <f ca="1">IFERROR(__xludf.DUMMYFUNCTION("IMPORTRANGE(""https://docs.google.com/spreadsheets/d/1IYY_tgx_IHuhSq3AJ5eI5OnqOPBNLWSHKh2a30DoXe8/edit?usp=sharing"",""ชุมพร!J315"")"),10)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IFERROR(__xludf.DUMMYFUNCTION("IMPORTRANGE(""https://docs.google.com/spreadsheets/d/1IYY_tgx_IHuhSq3AJ5eI5OnqOPBNLWSHKh2a30DoXe8/edit?usp=sharing"",""ชุมพร!I316"")"),25)</f>
        <v>25</v>
      </c>
      <c r="J421" s="398">
        <f ca="1">IFERROR(__xludf.DUMMYFUNCTION("IMPORTRANGE(""https://docs.google.com/spreadsheets/d/1IYY_tgx_IHuhSq3AJ5eI5OnqOPBNLWSHKh2a30DoXe8/edit?usp=sharing"",""ชุมพร!J316"")"),25)</f>
        <v>25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IFERROR(__xludf.DUMMYFUNCTION("IMPORTRANGE(""https://docs.google.com/spreadsheets/d/1IYY_tgx_IHuhSq3AJ5eI5OnqOPBNLWSHKh2a30DoXe8/edit?usp=sharing"",""ชุมพร!I317"")"),75)</f>
        <v>75</v>
      </c>
      <c r="J422" s="399">
        <f ca="1">IFERROR(__xludf.DUMMYFUNCTION("IMPORTRANGE(""https://docs.google.com/spreadsheets/d/1IYY_tgx_IHuhSq3AJ5eI5OnqOPBNLWSHKh2a30DoXe8/edit?usp=sharing"",""ชุมพร!J317"")"),75)</f>
        <v>75</v>
      </c>
      <c r="K422" s="208">
        <f t="shared" ca="1" si="113"/>
        <v>100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IFERROR(__xludf.DUMMYFUNCTION("IMPORTRANGE(""https://docs.google.com/spreadsheets/d/1IYY_tgx_IHuhSq3AJ5eI5OnqOPBNLWSHKh2a30DoXe8/edit?usp=sharing"",""ชุมพร!I318"")"),25)</f>
        <v>25</v>
      </c>
      <c r="J423" s="400">
        <f ca="1">IFERROR(__xludf.DUMMYFUNCTION("IMPORTRANGE(""https://docs.google.com/spreadsheets/d/1IYY_tgx_IHuhSq3AJ5eI5OnqOPBNLWSHKh2a30DoXe8/edit?usp=sharing"",""ชุมพร!J318"")"),25)</f>
        <v>25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IFERROR(__xludf.DUMMYFUNCTION("IMPORTRANGE(""https://docs.google.com/spreadsheets/d/1IYY_tgx_IHuhSq3AJ5eI5OnqOPBNLWSHKh2a30DoXe8/edit?usp=sharing"",""ชุมพร!I319"")"),25)</f>
        <v>25</v>
      </c>
      <c r="J424" s="400">
        <f ca="1">IFERROR(__xludf.DUMMYFUNCTION("IMPORTRANGE(""https://docs.google.com/spreadsheets/d/1IYY_tgx_IHuhSq3AJ5eI5OnqOPBNLWSHKh2a30DoXe8/edit?usp=sharing"",""ชุมพร!J319"")"),25)</f>
        <v>25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IFERROR(__xludf.DUMMYFUNCTION("IMPORTRANGE(""https://docs.google.com/spreadsheets/d/1IYY_tgx_IHuhSq3AJ5eI5OnqOPBNLWSHKh2a30DoXe8/edit?usp=sharing"",""ชุมพร!I320"")"),25)</f>
        <v>25</v>
      </c>
      <c r="J425" s="400">
        <f ca="1">IFERROR(__xludf.DUMMYFUNCTION("IMPORTRANGE(""https://docs.google.com/spreadsheets/d/1IYY_tgx_IHuhSq3AJ5eI5OnqOPBNLWSHKh2a30DoXe8/edit?usp=sharing"",""ชุมพร!J320"")"),25)</f>
        <v>25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IFERROR(__xludf.DUMMYFUNCTION("IMPORTRANGE(""https://docs.google.com/spreadsheets/d/1IYY_tgx_IHuhSq3AJ5eI5OnqOPBNLWSHKh2a30DoXe8/edit?usp=sharing"",""ชุมพร!I321"")"),10)</f>
        <v>10</v>
      </c>
      <c r="J426" s="398">
        <f ca="1">IFERROR(__xludf.DUMMYFUNCTION("IMPORTRANGE(""https://docs.google.com/spreadsheets/d/1IYY_tgx_IHuhSq3AJ5eI5OnqOPBNLWSHKh2a30DoXe8/edit?usp=sharing"",""ชุมพร!J321"")"),10)</f>
        <v>10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IFERROR(__xludf.DUMMYFUNCTION("IMPORTRANGE(""https://docs.google.com/spreadsheets/d/1IYY_tgx_IHuhSq3AJ5eI5OnqOPBNLWSHKh2a30DoXe8/edit?usp=sharing"",""ชุมพร!I322"")"),30)</f>
        <v>30</v>
      </c>
      <c r="J427" s="399">
        <f ca="1">IFERROR(__xludf.DUMMYFUNCTION("IMPORTRANGE(""https://docs.google.com/spreadsheets/d/1IYY_tgx_IHuhSq3AJ5eI5OnqOPBNLWSHKh2a30DoXe8/edit?usp=sharing"",""ชุมพร!J322"")"),30)</f>
        <v>30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IFERROR(__xludf.DUMMYFUNCTION("IMPORTRANGE(""https://docs.google.com/spreadsheets/d/1IYY_tgx_IHuhSq3AJ5eI5OnqOPBNLWSHKh2a30DoXe8/edit?usp=sharing"",""ชุมพร!I323"")"),10)</f>
        <v>10</v>
      </c>
      <c r="J428" s="400">
        <f ca="1">IFERROR(__xludf.DUMMYFUNCTION("IMPORTRANGE(""https://docs.google.com/spreadsheets/d/1IYY_tgx_IHuhSq3AJ5eI5OnqOPBNLWSHKh2a30DoXe8/edit?usp=sharing"",""ชุมพร!J323"")"),10)</f>
        <v>10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IFERROR(__xludf.DUMMYFUNCTION("IMPORTRANGE(""https://docs.google.com/spreadsheets/d/1IYY_tgx_IHuhSq3AJ5eI5OnqOPBNLWSHKh2a30DoXe8/edit?usp=sharing"",""ชุมพร!I324"")"),10)</f>
        <v>10</v>
      </c>
      <c r="J429" s="400">
        <f ca="1">IFERROR(__xludf.DUMMYFUNCTION("IMPORTRANGE(""https://docs.google.com/spreadsheets/d/1IYY_tgx_IHuhSq3AJ5eI5OnqOPBNLWSHKh2a30DoXe8/edit?usp=sharing"",""ชุมพร!J324"")"),10)</f>
        <v>10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IFERROR(__xludf.DUMMYFUNCTION("IMPORTRANGE(""https://docs.google.com/spreadsheets/d/1IYY_tgx_IHuhSq3AJ5eI5OnqOPBNLWSHKh2a30DoXe8/edit?usp=sharing"",""ชุมพร!I325"")"),35)</f>
        <v>35</v>
      </c>
      <c r="J430" s="398">
        <f ca="1">IFERROR(__xludf.DUMMYFUNCTION("IMPORTRANGE(""https://docs.google.com/spreadsheets/d/1IYY_tgx_IHuhSq3AJ5eI5OnqOPBNLWSHKh2a30DoXe8/edit?usp=sharing"",""ชุมพร!J325"")"),35)</f>
        <v>35</v>
      </c>
      <c r="K430" s="208">
        <f t="shared" ca="1" si="113"/>
        <v>100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IFERROR(__xludf.DUMMYFUNCTION("IMPORTRANGE(""https://docs.google.com/spreadsheets/d/1IYY_tgx_IHuhSq3AJ5eI5OnqOPBNLWSHKh2a30DoXe8/edit?usp=sharing"",""ชุมพร!I326"")"),10)</f>
        <v>10</v>
      </c>
      <c r="J431" s="400">
        <f ca="1">IFERROR(__xludf.DUMMYFUNCTION("IMPORTRANGE(""https://docs.google.com/spreadsheets/d/1IYY_tgx_IHuhSq3AJ5eI5OnqOPBNLWSHKh2a30DoXe8/edit?usp=sharing"",""ชุมพร!J326"")"),10)</f>
        <v>10</v>
      </c>
      <c r="K431" s="167">
        <f t="shared" ca="1" si="113"/>
        <v>100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IFERROR(__xludf.DUMMYFUNCTION("IMPORTRANGE(""https://docs.google.com/spreadsheets/d/1IYY_tgx_IHuhSq3AJ5eI5OnqOPBNLWSHKh2a30DoXe8/edit?usp=sharing"",""ชุมพร!I327"")"),25)</f>
        <v>25</v>
      </c>
      <c r="J432" s="400">
        <f ca="1">IFERROR(__xludf.DUMMYFUNCTION("IMPORTRANGE(""https://docs.google.com/spreadsheets/d/1IYY_tgx_IHuhSq3AJ5eI5OnqOPBNLWSHKh2a30DoXe8/edit?usp=sharing"",""ชุมพร!J327"")"),25)</f>
        <v>25</v>
      </c>
      <c r="K432" s="167">
        <f t="shared" ca="1" si="113"/>
        <v>100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IFERROR(__xludf.DUMMYFUNCTION("IMPORTRANGE(""https://docs.google.com/spreadsheets/d/1IYY_tgx_IHuhSq3AJ5eI5OnqOPBNLWSHKh2a30DoXe8/edit?usp=sharing"",""ชุมพร!J328"")"),0)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IFERROR(__xludf.DUMMYFUNCTION("IMPORTRANGE(""https://docs.google.com/spreadsheets/d/1IYY_tgx_IHuhSq3AJ5eI5OnqOPBNLWSHKh2a30DoXe8/edit?usp=sharing"",""ชุมพร!J329"")"),0)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IFERROR(__xludf.DUMMYFUNCTION("IMPORTRANGE(""https://docs.google.com/spreadsheets/d/1IYY_tgx_IHuhSq3AJ5eI5OnqOPBNLWSHKh2a30DoXe8/edit?usp=sharing"",""ชุมพร!I330"")"),60)</f>
        <v>60</v>
      </c>
      <c r="J435" s="416">
        <f ca="1">IFERROR(__xludf.DUMMYFUNCTION("IMPORTRANGE(""https://docs.google.com/spreadsheets/d/1IYY_tgx_IHuhSq3AJ5eI5OnqOPBNLWSHKh2a30DoXe8/edit?usp=sharing"",""ชุมพร!J330"")"),60)</f>
        <v>60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IFERROR(__xludf.DUMMYFUNCTION("IMPORTRANGE(""https://docs.google.com/spreadsheets/d/1IYY_tgx_IHuhSq3AJ5eI5OnqOPBNLWSHKh2a30DoXe8/edit?usp=sharing"",""ชุมพร!L330"")"),197600)</f>
        <v>197600</v>
      </c>
      <c r="M435" s="418"/>
      <c r="N435" s="418">
        <f ca="1">IFERROR(__xludf.DUMMYFUNCTION("IMPORTRANGE(""https://docs.google.com/spreadsheets/d/1IYY_tgx_IHuhSq3AJ5eI5OnqOPBNLWSHKh2a30DoXe8/edit?usp=sharing"",""ชุมพร!M330"")"),197600)</f>
        <v>197600</v>
      </c>
      <c r="O435" s="418">
        <f t="shared" ref="O435:O439" ca="1" si="114">+IF(L435&gt;0,N435*100/L435,0)</f>
        <v>100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IFERROR(__xludf.DUMMYFUNCTION("IMPORTRANGE(""https://docs.google.com/spreadsheets/d/1IYY_tgx_IHuhSq3AJ5eI5OnqOPBNLWSHKh2a30DoXe8/edit?usp=sharing"",""ชุมพร!L331"")"),0)</f>
        <v>0</v>
      </c>
      <c r="M436" s="168"/>
      <c r="N436" s="175">
        <f ca="1">IFERROR(__xludf.DUMMYFUNCTION("IMPORTRANGE(""https://docs.google.com/spreadsheets/d/1IYY_tgx_IHuhSq3AJ5eI5OnqOPBNLWSHKh2a30DoXe8/edit?usp=sharing"",""ชุมพร!M331"")"),0)</f>
        <v>0</v>
      </c>
      <c r="O436" s="175">
        <f t="shared" ca="1" si="114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IFERROR(__xludf.DUMMYFUNCTION("IMPORTRANGE(""https://docs.google.com/spreadsheets/d/1IYY_tgx_IHuhSq3AJ5eI5OnqOPBNLWSHKh2a30DoXe8/edit?usp=sharing"",""ชุมพร!L332"")"),197600)</f>
        <v>197600</v>
      </c>
      <c r="M437" s="169"/>
      <c r="N437" s="175">
        <f ca="1">IFERROR(__xludf.DUMMYFUNCTION("IMPORTRANGE(""https://docs.google.com/spreadsheets/d/1IYY_tgx_IHuhSq3AJ5eI5OnqOPBNLWSHKh2a30DoXe8/edit?usp=sharing"",""ชุมพร!M332"")"),197600)</f>
        <v>197600</v>
      </c>
      <c r="O437" s="175">
        <f t="shared" ca="1" si="114"/>
        <v>100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IFERROR(__xludf.DUMMYFUNCTION("IMPORTRANGE(""https://docs.google.com/spreadsheets/d/1IYY_tgx_IHuhSq3AJ5eI5OnqOPBNLWSHKh2a30DoXe8/edit?usp=sharing"",""ชุมพร!L333"")"),0)</f>
        <v>0</v>
      </c>
      <c r="M438" s="175"/>
      <c r="N438" s="175">
        <f ca="1">IFERROR(__xludf.DUMMYFUNCTION("IMPORTRANGE(""https://docs.google.com/spreadsheets/d/1IYY_tgx_IHuhSq3AJ5eI5OnqOPBNLWSHKh2a30DoXe8/edit?usp=sharing"",""ชุมพร!M333"")"),0)</f>
        <v>0</v>
      </c>
      <c r="O438" s="175">
        <f t="shared" ca="1" si="114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IFERROR(__xludf.DUMMYFUNCTION("IMPORTRANGE(""https://docs.google.com/spreadsheets/d/1IYY_tgx_IHuhSq3AJ5eI5OnqOPBNLWSHKh2a30DoXe8/edit?usp=sharing"",""ชุมพร!L334"")"),197600)</f>
        <v>197600</v>
      </c>
      <c r="M439" s="175"/>
      <c r="N439" s="175">
        <f ca="1">IFERROR(__xludf.DUMMYFUNCTION("IMPORTRANGE(""https://docs.google.com/spreadsheets/d/1IYY_tgx_IHuhSq3AJ5eI5OnqOPBNLWSHKh2a30DoXe8/edit?usp=sharing"",""ชุมพร!M334"")"),197600)</f>
        <v>197600</v>
      </c>
      <c r="O439" s="175">
        <f t="shared" ca="1" si="114"/>
        <v>100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IFERROR(__xludf.DUMMYFUNCTION("IMPORTRANGE(""https://docs.google.com/spreadsheets/d/1IYY_tgx_IHuhSq3AJ5eI5OnqOPBNLWSHKh2a30DoXe8/edit?usp=sharing"",""ชุมพร!M335"")"),128780)</f>
        <v>128780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IFERROR(__xludf.DUMMYFUNCTION("IMPORTRANGE(""https://docs.google.com/spreadsheets/d/1IYY_tgx_IHuhSq3AJ5eI5OnqOPBNLWSHKh2a30DoXe8/edit?usp=sharing"",""ชุมพร!M336"")"),0)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IFERROR(__xludf.DUMMYFUNCTION("IMPORTRANGE(""https://docs.google.com/spreadsheets/d/1IYY_tgx_IHuhSq3AJ5eI5OnqOPBNLWSHKh2a30DoXe8/edit?usp=sharing"",""ชุมพร!M337"")"),0)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IFERROR(__xludf.DUMMYFUNCTION("IMPORTRANGE(""https://docs.google.com/spreadsheets/d/1IYY_tgx_IHuhSq3AJ5eI5OnqOPBNLWSHKh2a30DoXe8/edit?usp=sharing"",""ชุมพร!M338"")"),68820)</f>
        <v>68820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IFERROR(__xludf.DUMMYFUNCTION("IMPORTRANGE(""https://docs.google.com/spreadsheets/d/1IYY_tgx_IHuhSq3AJ5eI5OnqOPBNLWSHKh2a30DoXe8/edit?usp=sharing"",""ชุมพร!J340"")"),0)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IFERROR(__xludf.DUMMYFUNCTION("IMPORTRANGE(""https://docs.google.com/spreadsheets/d/1IYY_tgx_IHuhSq3AJ5eI5OnqOPBNLWSHKh2a30DoXe8/edit?usp=sharing"",""ชุมพร!J341"")"),1)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IFERROR(__xludf.DUMMYFUNCTION("IMPORTRANGE(""https://docs.google.com/spreadsheets/d/1IYY_tgx_IHuhSq3AJ5eI5OnqOPBNLWSHKh2a30DoXe8/edit?usp=sharing"",""ชุมพร!J342"")"),1)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IFERROR(__xludf.DUMMYFUNCTION("IMPORTRANGE(""https://docs.google.com/spreadsheets/d/1IYY_tgx_IHuhSq3AJ5eI5OnqOPBNLWSHKh2a30DoXe8/edit?usp=sharing"",""ชุมพร!J343"")"),1)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IFERROR(__xludf.DUMMYFUNCTION("IMPORTRANGE(""https://docs.google.com/spreadsheets/d/1IYY_tgx_IHuhSq3AJ5eI5OnqOPBNLWSHKh2a30DoXe8/edit?usp=sharing"",""ชุมพร!I344"")"),60)</f>
        <v>60</v>
      </c>
      <c r="J449" s="207">
        <f ca="1">IFERROR(__xludf.DUMMYFUNCTION("IMPORTRANGE(""https://docs.google.com/spreadsheets/d/1IYY_tgx_IHuhSq3AJ5eI5OnqOPBNLWSHKh2a30DoXe8/edit?usp=sharing"",""ชุมพร!J344"")"),60)</f>
        <v>60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IFERROR(__xludf.DUMMYFUNCTION("IMPORTRANGE(""https://docs.google.com/spreadsheets/d/1IYY_tgx_IHuhSq3AJ5eI5OnqOPBNLWSHKh2a30DoXe8/edit?usp=sharing"",""ชุมพร!I345"")"),20)</f>
        <v>20</v>
      </c>
      <c r="J450" s="195">
        <f ca="1">IFERROR(__xludf.DUMMYFUNCTION("IMPORTRANGE(""https://docs.google.com/spreadsheets/d/1IYY_tgx_IHuhSq3AJ5eI5OnqOPBNLWSHKh2a30DoXe8/edit?usp=sharing"",""ชุมพร!J345"")"),20)</f>
        <v>20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IFERROR(__xludf.DUMMYFUNCTION("IMPORTRANGE(""https://docs.google.com/spreadsheets/d/1IYY_tgx_IHuhSq3AJ5eI5OnqOPBNLWSHKh2a30DoXe8/edit?usp=sharing"",""ชุมพร!I346"")"),40)</f>
        <v>40</v>
      </c>
      <c r="J451" s="194">
        <f ca="1">IFERROR(__xludf.DUMMYFUNCTION("IMPORTRANGE(""https://docs.google.com/spreadsheets/d/1IYY_tgx_IHuhSq3AJ5eI5OnqOPBNLWSHKh2a30DoXe8/edit?usp=sharing"",""ชุมพร!J346"")"),40)</f>
        <v>40</v>
      </c>
      <c r="K451" s="167">
        <f t="shared" ca="1" si="115"/>
        <v>100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IFERROR(__xludf.DUMMYFUNCTION("IMPORTRANGE(""https://docs.google.com/spreadsheets/d/1IYY_tgx_IHuhSq3AJ5eI5OnqOPBNLWSHKh2a30DoXe8/edit?usp=sharing"",""ชุมพร!I347"")"),0)</f>
        <v>0</v>
      </c>
      <c r="J452" s="194">
        <f ca="1">IFERROR(__xludf.DUMMYFUNCTION("IMPORTRANGE(""https://docs.google.com/spreadsheets/d/1IYY_tgx_IHuhSq3AJ5eI5OnqOPBNLWSHKh2a30DoXe8/edit?usp=sharing"",""ชุมพร!J347"")"),0)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IFERROR(__xludf.DUMMYFUNCTION("IMPORTRANGE(""https://docs.google.com/spreadsheets/d/1IYY_tgx_IHuhSq3AJ5eI5OnqOPBNLWSHKh2a30DoXe8/edit?usp=sharing"",""ชุมพร!J348"")"),1)</f>
        <v>1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IFERROR(__xludf.DUMMYFUNCTION("IMPORTRANGE(""https://docs.google.com/spreadsheets/d/1IYY_tgx_IHuhSq3AJ5eI5OnqOPBNLWSHKh2a30DoXe8/edit?usp=sharing"",""ชุมพร!J349"")"),1)</f>
        <v>1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IFERROR(__xludf.DUMMYFUNCTION("IMPORTRANGE(""https://docs.google.com/spreadsheets/d/1IYY_tgx_IHuhSq3AJ5eI5OnqOPBNLWSHKh2a30DoXe8/edit?usp=sharing"",""ชุมพร!I350"")"),108087)</f>
        <v>108087</v>
      </c>
      <c r="J455" s="377">
        <f ca="1">IFERROR(__xludf.DUMMYFUNCTION("IMPORTRANGE(""https://docs.google.com/spreadsheets/d/1IYY_tgx_IHuhSq3AJ5eI5OnqOPBNLWSHKh2a30DoXe8/edit?usp=sharing"",""ชุมพร!J350"")"),108088)</f>
        <v>108088</v>
      </c>
      <c r="K455" s="378">
        <f ca="1">IF(I455&gt;0,J455*100/I455,0)</f>
        <v>100.00092518064152</v>
      </c>
      <c r="L455" s="379">
        <f ca="1">IFERROR(__xludf.DUMMYFUNCTION("IMPORTRANGE(""https://docs.google.com/spreadsheets/d/1IYY_tgx_IHuhSq3AJ5eI5OnqOPBNLWSHKh2a30DoXe8/edit?usp=sharing"",""ชุมพร!L350"")"),692057)</f>
        <v>692057</v>
      </c>
      <c r="M455" s="379"/>
      <c r="N455" s="379">
        <f ca="1">IFERROR(__xludf.DUMMYFUNCTION("IMPORTRANGE(""https://docs.google.com/spreadsheets/d/1IYY_tgx_IHuhSq3AJ5eI5OnqOPBNLWSHKh2a30DoXe8/edit?usp=sharing"",""ชุมพร!M350"")"),488502.15)</f>
        <v>488502.15</v>
      </c>
      <c r="O455" s="379">
        <f t="shared" ref="O455:O459" ca="1" si="116">+IF(L455&gt;0,N455*100/L455,0)</f>
        <v>70.586981997147632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IFERROR(__xludf.DUMMYFUNCTION("IMPORTRANGE(""https://docs.google.com/spreadsheets/d/1IYY_tgx_IHuhSq3AJ5eI5OnqOPBNLWSHKh2a30DoXe8/edit?usp=sharing"",""ชุมพร!L351"")"),0)</f>
        <v>0</v>
      </c>
      <c r="M456" s="168"/>
      <c r="N456" s="175">
        <f ca="1">IFERROR(__xludf.DUMMYFUNCTION("IMPORTRANGE(""https://docs.google.com/spreadsheets/d/1IYY_tgx_IHuhSq3AJ5eI5OnqOPBNLWSHKh2a30DoXe8/edit?usp=sharing"",""ชุมพร!M351"")"),0)</f>
        <v>0</v>
      </c>
      <c r="O456" s="175">
        <f t="shared" ca="1" si="116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IFERROR(__xludf.DUMMYFUNCTION("IMPORTRANGE(""https://docs.google.com/spreadsheets/d/1IYY_tgx_IHuhSq3AJ5eI5OnqOPBNLWSHKh2a30DoXe8/edit?usp=sharing"",""ชุมพร!L352"")"),692057)</f>
        <v>692057</v>
      </c>
      <c r="M457" s="169"/>
      <c r="N457" s="175">
        <f ca="1">IFERROR(__xludf.DUMMYFUNCTION("IMPORTRANGE(""https://docs.google.com/spreadsheets/d/1IYY_tgx_IHuhSq3AJ5eI5OnqOPBNLWSHKh2a30DoXe8/edit?usp=sharing"",""ชุมพร!M352"")"),488502.15)</f>
        <v>488502.15</v>
      </c>
      <c r="O457" s="175">
        <f t="shared" ca="1" si="116"/>
        <v>70.586981997147632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IFERROR(__xludf.DUMMYFUNCTION("IMPORTRANGE(""https://docs.google.com/spreadsheets/d/1IYY_tgx_IHuhSq3AJ5eI5OnqOPBNLWSHKh2a30DoXe8/edit?usp=sharing"",""ชุมพร!L353"")"),0)</f>
        <v>0</v>
      </c>
      <c r="M458" s="175"/>
      <c r="N458" s="175">
        <f ca="1">IFERROR(__xludf.DUMMYFUNCTION("IMPORTRANGE(""https://docs.google.com/spreadsheets/d/1IYY_tgx_IHuhSq3AJ5eI5OnqOPBNLWSHKh2a30DoXe8/edit?usp=sharing"",""ชุมพร!M353"")"),0)</f>
        <v>0</v>
      </c>
      <c r="O458" s="175">
        <f t="shared" ca="1" si="116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IFERROR(__xludf.DUMMYFUNCTION("IMPORTRANGE(""https://docs.google.com/spreadsheets/d/1IYY_tgx_IHuhSq3AJ5eI5OnqOPBNLWSHKh2a30DoXe8/edit?usp=sharing"",""ชุมพร!L354"")"),692057)</f>
        <v>692057</v>
      </c>
      <c r="M459" s="175"/>
      <c r="N459" s="175">
        <f ca="1">IFERROR(__xludf.DUMMYFUNCTION("IMPORTRANGE(""https://docs.google.com/spreadsheets/d/1IYY_tgx_IHuhSq3AJ5eI5OnqOPBNLWSHKh2a30DoXe8/edit?usp=sharing"",""ชุมพร!M354"")"),488502.15)</f>
        <v>488502.15</v>
      </c>
      <c r="O459" s="175">
        <f t="shared" ca="1" si="116"/>
        <v>70.586981997147632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IFERROR(__xludf.DUMMYFUNCTION("IMPORTRANGE(""https://docs.google.com/spreadsheets/d/1IYY_tgx_IHuhSq3AJ5eI5OnqOPBNLWSHKh2a30DoXe8/edit?usp=sharing"",""ชุมพร!M355"")"),0)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IFERROR(__xludf.DUMMYFUNCTION("IMPORTRANGE(""https://docs.google.com/spreadsheets/d/1IYY_tgx_IHuhSq3AJ5eI5OnqOPBNLWSHKh2a30DoXe8/edit?usp=sharing"",""ชุมพร!M356"")"),0)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IFERROR(__xludf.DUMMYFUNCTION("IMPORTRANGE(""https://docs.google.com/spreadsheets/d/1IYY_tgx_IHuhSq3AJ5eI5OnqOPBNLWSHKh2a30DoXe8/edit?usp=sharing"",""ชุมพร!M357"")"),107808)</f>
        <v>107808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IFERROR(__xludf.DUMMYFUNCTION("IMPORTRANGE(""https://docs.google.com/spreadsheets/d/1IYY_tgx_IHuhSq3AJ5eI5OnqOPBNLWSHKh2a30DoXe8/edit?usp=sharing"",""ชุมพร!M358"")"),380694.15)</f>
        <v>380694.15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IFERROR(__xludf.DUMMYFUNCTION("IMPORTRANGE(""https://docs.google.com/spreadsheets/d/1IYY_tgx_IHuhSq3AJ5eI5OnqOPBNLWSHKh2a30DoXe8/edit?usp=sharing"",""ชุมพร!I359"")"),108087)</f>
        <v>108087</v>
      </c>
      <c r="J464" s="273">
        <f ca="1">IFERROR(__xludf.DUMMYFUNCTION("IMPORTRANGE(""https://docs.google.com/spreadsheets/d/1IYY_tgx_IHuhSq3AJ5eI5OnqOPBNLWSHKh2a30DoXe8/edit?usp=sharing"",""ชุมพร!J359"")"),108088)</f>
        <v>108088</v>
      </c>
      <c r="K464" s="274">
        <f t="shared" ref="K464:K515" ca="1" si="117">IF(I464&gt;0,J464*100/I464,0)</f>
        <v>100.00092518064152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IFERROR(__xludf.DUMMYFUNCTION("IMPORTRANGE(""https://docs.google.com/spreadsheets/d/1IYY_tgx_IHuhSq3AJ5eI5OnqOPBNLWSHKh2a30DoXe8/edit?usp=sharing"",""ชุมพร!I360"")"),108087)</f>
        <v>108087</v>
      </c>
      <c r="J465" s="426">
        <f ca="1">IFERROR(__xludf.DUMMYFUNCTION("IMPORTRANGE(""https://docs.google.com/spreadsheets/d/1IYY_tgx_IHuhSq3AJ5eI5OnqOPBNLWSHKh2a30DoXe8/edit?usp=sharing"",""ชุมพร!J360"")"),108088)</f>
        <v>108088</v>
      </c>
      <c r="K465" s="208">
        <f t="shared" ca="1" si="117"/>
        <v>100.00092518064152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IFERROR(__xludf.DUMMYFUNCTION("IMPORTRANGE(""https://docs.google.com/spreadsheets/d/1IYY_tgx_IHuhSq3AJ5eI5OnqOPBNLWSHKh2a30DoXe8/edit?usp=sharing"",""ชุมพร!I361"")"),10641)</f>
        <v>10641</v>
      </c>
      <c r="J466" s="426">
        <f ca="1">IFERROR(__xludf.DUMMYFUNCTION("IMPORTRANGE(""https://docs.google.com/spreadsheets/d/1IYY_tgx_IHuhSq3AJ5eI5OnqOPBNLWSHKh2a30DoXe8/edit?usp=sharing"",""ชุมพร!J361"")"),10641)</f>
        <v>10641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IFERROR(__xludf.DUMMYFUNCTION("IMPORTRANGE(""https://docs.google.com/spreadsheets/d/1IYY_tgx_IHuhSq3AJ5eI5OnqOPBNLWSHKh2a30DoXe8/edit?usp=sharing"",""ชุมพร!I362"")"),0)</f>
        <v>0</v>
      </c>
      <c r="J467" s="195">
        <f ca="1">IFERROR(__xludf.DUMMYFUNCTION("IMPORTRANGE(""https://docs.google.com/spreadsheets/d/1IYY_tgx_IHuhSq3AJ5eI5OnqOPBNLWSHKh2a30DoXe8/edit?usp=sharing"",""ชุมพร!J362"")"),90777)</f>
        <v>90777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IFERROR(__xludf.DUMMYFUNCTION("IMPORTRANGE(""https://docs.google.com/spreadsheets/d/1IYY_tgx_IHuhSq3AJ5eI5OnqOPBNLWSHKh2a30DoXe8/edit?usp=sharing"",""ชุมพร!I363"")"),0)</f>
        <v>0</v>
      </c>
      <c r="J468" s="195">
        <f ca="1">IFERROR(__xludf.DUMMYFUNCTION("IMPORTRANGE(""https://docs.google.com/spreadsheets/d/1IYY_tgx_IHuhSq3AJ5eI5OnqOPBNLWSHKh2a30DoXe8/edit?usp=sharing"",""ชุมพร!J363"")"),8917)</f>
        <v>8917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IFERROR(__xludf.DUMMYFUNCTION("IMPORTRANGE(""https://docs.google.com/spreadsheets/d/1IYY_tgx_IHuhSq3AJ5eI5OnqOPBNLWSHKh2a30DoXe8/edit?usp=sharing"",""ชุมพร!I364"")"),0)</f>
        <v>0</v>
      </c>
      <c r="J469" s="195">
        <f ca="1">IFERROR(__xludf.DUMMYFUNCTION("IMPORTRANGE(""https://docs.google.com/spreadsheets/d/1IYY_tgx_IHuhSq3AJ5eI5OnqOPBNLWSHKh2a30DoXe8/edit?usp=sharing"",""ชุมพร!J364"")"),15323)</f>
        <v>15323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IFERROR(__xludf.DUMMYFUNCTION("IMPORTRANGE(""https://docs.google.com/spreadsheets/d/1IYY_tgx_IHuhSq3AJ5eI5OnqOPBNLWSHKh2a30DoXe8/edit?usp=sharing"",""ชุมพร!I365"")"),0)</f>
        <v>0</v>
      </c>
      <c r="J470" s="195">
        <f ca="1">IFERROR(__xludf.DUMMYFUNCTION("IMPORTRANGE(""https://docs.google.com/spreadsheets/d/1IYY_tgx_IHuhSq3AJ5eI5OnqOPBNLWSHKh2a30DoXe8/edit?usp=sharing"",""ชุมพร!J365"")"),1533)</f>
        <v>1533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IFERROR(__xludf.DUMMYFUNCTION("IMPORTRANGE(""https://docs.google.com/spreadsheets/d/1IYY_tgx_IHuhSq3AJ5eI5OnqOPBNLWSHKh2a30DoXe8/edit?usp=sharing"",""ชุมพร!I366"")"),0)</f>
        <v>0</v>
      </c>
      <c r="J471" s="195">
        <f ca="1">IFERROR(__xludf.DUMMYFUNCTION("IMPORTRANGE(""https://docs.google.com/spreadsheets/d/1IYY_tgx_IHuhSq3AJ5eI5OnqOPBNLWSHKh2a30DoXe8/edit?usp=sharing"",""ชุมพร!J366"")"),1988)</f>
        <v>1988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IFERROR(__xludf.DUMMYFUNCTION("IMPORTRANGE(""https://docs.google.com/spreadsheets/d/1IYY_tgx_IHuhSq3AJ5eI5OnqOPBNLWSHKh2a30DoXe8/edit?usp=sharing"",""ชุมพร!I367"")"),0)</f>
        <v>0</v>
      </c>
      <c r="J472" s="195">
        <f ca="1">IFERROR(__xludf.DUMMYFUNCTION("IMPORTRANGE(""https://docs.google.com/spreadsheets/d/1IYY_tgx_IHuhSq3AJ5eI5OnqOPBNLWSHKh2a30DoXe8/edit?usp=sharing"",""ชุมพร!J367"")"),191)</f>
        <v>191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IFERROR(__xludf.DUMMYFUNCTION("IMPORTRANGE(""https://docs.google.com/spreadsheets/d/1IYY_tgx_IHuhSq3AJ5eI5OnqOPBNLWSHKh2a30DoXe8/edit?usp=sharing"",""ชุมพร!I368"")"),108087)</f>
        <v>108087</v>
      </c>
      <c r="J473" s="426">
        <f ca="1">IFERROR(__xludf.DUMMYFUNCTION("IMPORTRANGE(""https://docs.google.com/spreadsheets/d/1IYY_tgx_IHuhSq3AJ5eI5OnqOPBNLWSHKh2a30DoXe8/edit?usp=sharing"",""ชุมพร!J368"")"),108088)</f>
        <v>108088</v>
      </c>
      <c r="K473" s="208">
        <f t="shared" ca="1" si="117"/>
        <v>100.00092518064152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IFERROR(__xludf.DUMMYFUNCTION("IMPORTRANGE(""https://docs.google.com/spreadsheets/d/1IYY_tgx_IHuhSq3AJ5eI5OnqOPBNLWSHKh2a30DoXe8/edit?usp=sharing"",""ชุมพร!I369"")"),10641)</f>
        <v>10641</v>
      </c>
      <c r="J474" s="426">
        <f ca="1">IFERROR(__xludf.DUMMYFUNCTION("IMPORTRANGE(""https://docs.google.com/spreadsheets/d/1IYY_tgx_IHuhSq3AJ5eI5OnqOPBNLWSHKh2a30DoXe8/edit?usp=sharing"",""ชุมพร!J369"")"),10641)</f>
        <v>10641</v>
      </c>
      <c r="K474" s="167">
        <f t="shared" ca="1" si="117"/>
        <v>100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IFERROR(__xludf.DUMMYFUNCTION("IMPORTRANGE(""https://docs.google.com/spreadsheets/d/1IYY_tgx_IHuhSq3AJ5eI5OnqOPBNLWSHKh2a30DoXe8/edit?usp=sharing"",""ชุมพร!I370"")"),0)</f>
        <v>0</v>
      </c>
      <c r="J475" s="195">
        <f ca="1">IFERROR(__xludf.DUMMYFUNCTION("IMPORTRANGE(""https://docs.google.com/spreadsheets/d/1IYY_tgx_IHuhSq3AJ5eI5OnqOPBNLWSHKh2a30DoXe8/edit?usp=sharing"",""ชุมพร!J370"")"),93784)</f>
        <v>93784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IFERROR(__xludf.DUMMYFUNCTION("IMPORTRANGE(""https://docs.google.com/spreadsheets/d/1IYY_tgx_IHuhSq3AJ5eI5OnqOPBNLWSHKh2a30DoXe8/edit?usp=sharing"",""ชุมพร!I371"")"),0)</f>
        <v>0</v>
      </c>
      <c r="J476" s="195">
        <f ca="1">IFERROR(__xludf.DUMMYFUNCTION("IMPORTRANGE(""https://docs.google.com/spreadsheets/d/1IYY_tgx_IHuhSq3AJ5eI5OnqOPBNLWSHKh2a30DoXe8/edit?usp=sharing"",""ชุมพร!J371"")"),9222)</f>
        <v>9222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IFERROR(__xludf.DUMMYFUNCTION("IMPORTRANGE(""https://docs.google.com/spreadsheets/d/1IYY_tgx_IHuhSq3AJ5eI5OnqOPBNLWSHKh2a30DoXe8/edit?usp=sharing"",""ชุมพร!I372"")"),0)</f>
        <v>0</v>
      </c>
      <c r="J477" s="195">
        <f ca="1">IFERROR(__xludf.DUMMYFUNCTION("IMPORTRANGE(""https://docs.google.com/spreadsheets/d/1IYY_tgx_IHuhSq3AJ5eI5OnqOPBNLWSHKh2a30DoXe8/edit?usp=sharing"",""ชุมพร!J372"")"),12148)</f>
        <v>12148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IFERROR(__xludf.DUMMYFUNCTION("IMPORTRANGE(""https://docs.google.com/spreadsheets/d/1IYY_tgx_IHuhSq3AJ5eI5OnqOPBNLWSHKh2a30DoXe8/edit?usp=sharing"",""ชุมพร!I373"")"),0)</f>
        <v>0</v>
      </c>
      <c r="J478" s="195">
        <f ca="1">IFERROR(__xludf.DUMMYFUNCTION("IMPORTRANGE(""https://docs.google.com/spreadsheets/d/1IYY_tgx_IHuhSq3AJ5eI5OnqOPBNLWSHKh2a30DoXe8/edit?usp=sharing"",""ชุมพร!J373"")"),1203)</f>
        <v>1203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IFERROR(__xludf.DUMMYFUNCTION("IMPORTRANGE(""https://docs.google.com/spreadsheets/d/1IYY_tgx_IHuhSq3AJ5eI5OnqOPBNLWSHKh2a30DoXe8/edit?usp=sharing"",""ชุมพร!I374"")"),0)</f>
        <v>0</v>
      </c>
      <c r="J479" s="195">
        <f ca="1">IFERROR(__xludf.DUMMYFUNCTION("IMPORTRANGE(""https://docs.google.com/spreadsheets/d/1IYY_tgx_IHuhSq3AJ5eI5OnqOPBNLWSHKh2a30DoXe8/edit?usp=sharing"",""ชุมพร!J374"")"),2156)</f>
        <v>2156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IFERROR(__xludf.DUMMYFUNCTION("IMPORTRANGE(""https://docs.google.com/spreadsheets/d/1IYY_tgx_IHuhSq3AJ5eI5OnqOPBNLWSHKh2a30DoXe8/edit?usp=sharing"",""ชุมพร!I375"")"),0)</f>
        <v>0</v>
      </c>
      <c r="J480" s="195">
        <f ca="1">IFERROR(__xludf.DUMMYFUNCTION("IMPORTRANGE(""https://docs.google.com/spreadsheets/d/1IYY_tgx_IHuhSq3AJ5eI5OnqOPBNLWSHKh2a30DoXe8/edit?usp=sharing"",""ชุมพร!J375"")"),216)</f>
        <v>216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IFERROR(__xludf.DUMMYFUNCTION("IMPORTRANGE(""https://docs.google.com/spreadsheets/d/1IYY_tgx_IHuhSq3AJ5eI5OnqOPBNLWSHKh2a30DoXe8/edit?usp=sharing"",""ชุมพร!I376"")"),108087)</f>
        <v>108087</v>
      </c>
      <c r="J481" s="426">
        <f ca="1">IFERROR(__xludf.DUMMYFUNCTION("IMPORTRANGE(""https://docs.google.com/spreadsheets/d/1IYY_tgx_IHuhSq3AJ5eI5OnqOPBNLWSHKh2a30DoXe8/edit?usp=sharing"",""ชุมพร!J376"")"),108088)</f>
        <v>108088</v>
      </c>
      <c r="K481" s="208">
        <f t="shared" ca="1" si="117"/>
        <v>100.00092518064152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IFERROR(__xludf.DUMMYFUNCTION("IMPORTRANGE(""https://docs.google.com/spreadsheets/d/1IYY_tgx_IHuhSq3AJ5eI5OnqOPBNLWSHKh2a30DoXe8/edit?usp=sharing"",""ชุมพร!I377"")"),10641)</f>
        <v>10641</v>
      </c>
      <c r="J482" s="426">
        <f ca="1">IFERROR(__xludf.DUMMYFUNCTION("IMPORTRANGE(""https://docs.google.com/spreadsheets/d/1IYY_tgx_IHuhSq3AJ5eI5OnqOPBNLWSHKh2a30DoXe8/edit?usp=sharing"",""ชุมพร!J377"")"),10641)</f>
        <v>10641</v>
      </c>
      <c r="K482" s="167">
        <f t="shared" ca="1" si="117"/>
        <v>100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IFERROR(__xludf.DUMMYFUNCTION("IMPORTRANGE(""https://docs.google.com/spreadsheets/d/1IYY_tgx_IHuhSq3AJ5eI5OnqOPBNLWSHKh2a30DoXe8/edit?usp=sharing"",""ชุมพร!I378"")"),0)</f>
        <v>0</v>
      </c>
      <c r="J483" s="195">
        <f ca="1">IFERROR(__xludf.DUMMYFUNCTION("IMPORTRANGE(""https://docs.google.com/spreadsheets/d/1IYY_tgx_IHuhSq3AJ5eI5OnqOPBNLWSHKh2a30DoXe8/edit?usp=sharing"",""ชุมพร!J378"")"),94457)</f>
        <v>94457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IFERROR(__xludf.DUMMYFUNCTION("IMPORTRANGE(""https://docs.google.com/spreadsheets/d/1IYY_tgx_IHuhSq3AJ5eI5OnqOPBNLWSHKh2a30DoXe8/edit?usp=sharing"",""ชุมพร!I379"")"),0)</f>
        <v>0</v>
      </c>
      <c r="J484" s="195">
        <f ca="1">IFERROR(__xludf.DUMMYFUNCTION("IMPORTRANGE(""https://docs.google.com/spreadsheets/d/1IYY_tgx_IHuhSq3AJ5eI5OnqOPBNLWSHKh2a30DoXe8/edit?usp=sharing"",""ชุมพร!J379"")"),9281)</f>
        <v>9281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IFERROR(__xludf.DUMMYFUNCTION("IMPORTRANGE(""https://docs.google.com/spreadsheets/d/1IYY_tgx_IHuhSq3AJ5eI5OnqOPBNLWSHKh2a30DoXe8/edit?usp=sharing"",""ชุมพร!I380"")"),0)</f>
        <v>0</v>
      </c>
      <c r="J485" s="195">
        <f ca="1">IFERROR(__xludf.DUMMYFUNCTION("IMPORTRANGE(""https://docs.google.com/spreadsheets/d/1IYY_tgx_IHuhSq3AJ5eI5OnqOPBNLWSHKh2a30DoXe8/edit?usp=sharing"",""ชุมพร!J380"")"),0)</f>
        <v>0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IFERROR(__xludf.DUMMYFUNCTION("IMPORTRANGE(""https://docs.google.com/spreadsheets/d/1IYY_tgx_IHuhSq3AJ5eI5OnqOPBNLWSHKh2a30DoXe8/edit?usp=sharing"",""ชุมพร!I381"")"),0)</f>
        <v>0</v>
      </c>
      <c r="J486" s="195">
        <f ca="1">IFERROR(__xludf.DUMMYFUNCTION("IMPORTRANGE(""https://docs.google.com/spreadsheets/d/1IYY_tgx_IHuhSq3AJ5eI5OnqOPBNLWSHKh2a30DoXe8/edit?usp=sharing"",""ชุมพร!J381"")"),0)</f>
        <v>0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IFERROR(__xludf.DUMMYFUNCTION("IMPORTRANGE(""https://docs.google.com/spreadsheets/d/1IYY_tgx_IHuhSq3AJ5eI5OnqOPBNLWSHKh2a30DoXe8/edit?usp=sharing"",""ชุมพร!I382"")"),0)</f>
        <v>0</v>
      </c>
      <c r="J487" s="426">
        <f ca="1">IFERROR(__xludf.DUMMYFUNCTION("IMPORTRANGE(""https://docs.google.com/spreadsheets/d/1IYY_tgx_IHuhSq3AJ5eI5OnqOPBNLWSHKh2a30DoXe8/edit?usp=sharing"",""ชุมพร!J382"")"),2048)</f>
        <v>2048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IFERROR(__xludf.DUMMYFUNCTION("IMPORTRANGE(""https://docs.google.com/spreadsheets/d/1IYY_tgx_IHuhSq3AJ5eI5OnqOPBNLWSHKh2a30DoXe8/edit?usp=sharing"",""ชุมพร!I383"")"),0)</f>
        <v>0</v>
      </c>
      <c r="J488" s="426">
        <f ca="1">IFERROR(__xludf.DUMMYFUNCTION("IMPORTRANGE(""https://docs.google.com/spreadsheets/d/1IYY_tgx_IHuhSq3AJ5eI5OnqOPBNLWSHKh2a30DoXe8/edit?usp=sharing"",""ชุมพร!J383"")"),204)</f>
        <v>204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IFERROR(__xludf.DUMMYFUNCTION("IMPORTRANGE(""https://docs.google.com/spreadsheets/d/1IYY_tgx_IHuhSq3AJ5eI5OnqOPBNLWSHKh2a30DoXe8/edit?usp=sharing"",""ชุมพร!I384"")"),0)</f>
        <v>0</v>
      </c>
      <c r="J489" s="195">
        <f ca="1">IFERROR(__xludf.DUMMYFUNCTION("IMPORTRANGE(""https://docs.google.com/spreadsheets/d/1IYY_tgx_IHuhSq3AJ5eI5OnqOPBNLWSHKh2a30DoXe8/edit?usp=sharing"",""ชุมพร!J384"")"),2048)</f>
        <v>2048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IFERROR(__xludf.DUMMYFUNCTION("IMPORTRANGE(""https://docs.google.com/spreadsheets/d/1IYY_tgx_IHuhSq3AJ5eI5OnqOPBNLWSHKh2a30DoXe8/edit?usp=sharing"",""ชุมพร!I385"")"),0)</f>
        <v>0</v>
      </c>
      <c r="J490" s="195">
        <f ca="1">IFERROR(__xludf.DUMMYFUNCTION("IMPORTRANGE(""https://docs.google.com/spreadsheets/d/1IYY_tgx_IHuhSq3AJ5eI5OnqOPBNLWSHKh2a30DoXe8/edit?usp=sharing"",""ชุมพร!J385"")"),204)</f>
        <v>204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IFERROR(__xludf.DUMMYFUNCTION("IMPORTRANGE(""https://docs.google.com/spreadsheets/d/1IYY_tgx_IHuhSq3AJ5eI5OnqOPBNLWSHKh2a30DoXe8/edit?usp=sharing"",""ชุมพร!I386"")"),0)</f>
        <v>0</v>
      </c>
      <c r="J491" s="195">
        <f ca="1">IFERROR(__xludf.DUMMYFUNCTION("IMPORTRANGE(""https://docs.google.com/spreadsheets/d/1IYY_tgx_IHuhSq3AJ5eI5OnqOPBNLWSHKh2a30DoXe8/edit?usp=sharing"",""ชุมพร!J386"")"),0)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IFERROR(__xludf.DUMMYFUNCTION("IMPORTRANGE(""https://docs.google.com/spreadsheets/d/1IYY_tgx_IHuhSq3AJ5eI5OnqOPBNLWSHKh2a30DoXe8/edit?usp=sharing"",""ชุมพร!I387"")"),0)</f>
        <v>0</v>
      </c>
      <c r="J492" s="195">
        <f ca="1">IFERROR(__xludf.DUMMYFUNCTION("IMPORTRANGE(""https://docs.google.com/spreadsheets/d/1IYY_tgx_IHuhSq3AJ5eI5OnqOPBNLWSHKh2a30DoXe8/edit?usp=sharing"",""ชุมพร!J387"")"),0)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IFERROR(__xludf.DUMMYFUNCTION("IMPORTRANGE(""https://docs.google.com/spreadsheets/d/1IYY_tgx_IHuhSq3AJ5eI5OnqOPBNLWSHKh2a30DoXe8/edit?usp=sharing"",""ชุมพร!I388"")"),0)</f>
        <v>0</v>
      </c>
      <c r="J493" s="195">
        <f ca="1">IFERROR(__xludf.DUMMYFUNCTION("IMPORTRANGE(""https://docs.google.com/spreadsheets/d/1IYY_tgx_IHuhSq3AJ5eI5OnqOPBNLWSHKh2a30DoXe8/edit?usp=sharing"",""ชุมพร!J388"")"),11583)</f>
        <v>11583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IFERROR(__xludf.DUMMYFUNCTION("IMPORTRANGE(""https://docs.google.com/spreadsheets/d/1IYY_tgx_IHuhSq3AJ5eI5OnqOPBNLWSHKh2a30DoXe8/edit?usp=sharing"",""ชุมพร!I389"")"),0)</f>
        <v>0</v>
      </c>
      <c r="J494" s="442">
        <f ca="1">IFERROR(__xludf.DUMMYFUNCTION("IMPORTRANGE(""https://docs.google.com/spreadsheets/d/1IYY_tgx_IHuhSq3AJ5eI5OnqOPBNLWSHKh2a30DoXe8/edit?usp=sharing"",""ชุมพร!J389"")"),1156)</f>
        <v>1156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IFERROR(__xludf.DUMMYFUNCTION("IMPORTRANGE(""https://docs.google.com/spreadsheets/d/1IYY_tgx_IHuhSq3AJ5eI5OnqOPBNLWSHKh2a30DoXe8/edit?usp=sharing"",""ชุมพร!I390"")"),0)</f>
        <v>0</v>
      </c>
      <c r="J495" s="442">
        <f ca="1">IFERROR(__xludf.DUMMYFUNCTION("IMPORTRANGE(""https://docs.google.com/spreadsheets/d/1IYY_tgx_IHuhSq3AJ5eI5OnqOPBNLWSHKh2a30DoXe8/edit?usp=sharing"",""ชุมพร!J390"")"),0)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IFERROR(__xludf.DUMMYFUNCTION("IMPORTRANGE(""https://docs.google.com/spreadsheets/d/1IYY_tgx_IHuhSq3AJ5eI5OnqOPBNLWSHKh2a30DoXe8/edit?usp=sharing"",""ชุมพร!I391"")"),0)</f>
        <v>0</v>
      </c>
      <c r="J496" s="442">
        <f ca="1">IFERROR(__xludf.DUMMYFUNCTION("IMPORTRANGE(""https://docs.google.com/spreadsheets/d/1IYY_tgx_IHuhSq3AJ5eI5OnqOPBNLWSHKh2a30DoXe8/edit?usp=sharing"",""ชุมพร!J391"")"),0)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IFERROR(__xludf.DUMMYFUNCTION("IMPORTRANGE(""https://docs.google.com/spreadsheets/d/1IYY_tgx_IHuhSq3AJ5eI5OnqOPBNLWSHKh2a30DoXe8/edit?usp=sharing"",""ชุมพร!I392"")"),659)</f>
        <v>659</v>
      </c>
      <c r="J497" s="449">
        <f ca="1">IFERROR(__xludf.DUMMYFUNCTION("IMPORTRANGE(""https://docs.google.com/spreadsheets/d/1IYY_tgx_IHuhSq3AJ5eI5OnqOPBNLWSHKh2a30DoXe8/edit?usp=sharing"",""ชุมพร!J392"")"),659)</f>
        <v>659</v>
      </c>
      <c r="K497" s="450">
        <f t="shared" ca="1" si="117"/>
        <v>100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IFERROR(__xludf.DUMMYFUNCTION("IMPORTRANGE(""https://docs.google.com/spreadsheets/d/1IYY_tgx_IHuhSq3AJ5eI5OnqOPBNLWSHKh2a30DoXe8/edit?usp=sharing"",""ชุมพร!I393"")"),659)</f>
        <v>659</v>
      </c>
      <c r="J498" s="426">
        <f ca="1">IFERROR(__xludf.DUMMYFUNCTION("IMPORTRANGE(""https://docs.google.com/spreadsheets/d/1IYY_tgx_IHuhSq3AJ5eI5OnqOPBNLWSHKh2a30DoXe8/edit?usp=sharing"",""ชุมพร!J393"")"),659)</f>
        <v>659</v>
      </c>
      <c r="K498" s="208">
        <f t="shared" ca="1" si="117"/>
        <v>100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IFERROR(__xludf.DUMMYFUNCTION("IMPORTRANGE(""https://docs.google.com/spreadsheets/d/1IYY_tgx_IHuhSq3AJ5eI5OnqOPBNLWSHKh2a30DoXe8/edit?usp=sharing"",""ชุมพร!I394"")"),94)</f>
        <v>94</v>
      </c>
      <c r="J499" s="426">
        <f ca="1">IFERROR(__xludf.DUMMYFUNCTION("IMPORTRANGE(""https://docs.google.com/spreadsheets/d/1IYY_tgx_IHuhSq3AJ5eI5OnqOPBNLWSHKh2a30DoXe8/edit?usp=sharing"",""ชุมพร!J394"")"),94)</f>
        <v>94</v>
      </c>
      <c r="K499" s="208">
        <f t="shared" ca="1" si="117"/>
        <v>100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IFERROR(__xludf.DUMMYFUNCTION("IMPORTRANGE(""https://docs.google.com/spreadsheets/d/1IYY_tgx_IHuhSq3AJ5eI5OnqOPBNLWSHKh2a30DoXe8/edit?usp=sharing"",""ชุมพร!I395"")"),0)</f>
        <v>0</v>
      </c>
      <c r="J500" s="166">
        <f ca="1">IFERROR(__xludf.DUMMYFUNCTION("IMPORTRANGE(""https://docs.google.com/spreadsheets/d/1IYY_tgx_IHuhSq3AJ5eI5OnqOPBNLWSHKh2a30DoXe8/edit?usp=sharing"",""ชุมพร!J395"")"),647)</f>
        <v>647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IFERROR(__xludf.DUMMYFUNCTION("IMPORTRANGE(""https://docs.google.com/spreadsheets/d/1IYY_tgx_IHuhSq3AJ5eI5OnqOPBNLWSHKh2a30DoXe8/edit?usp=sharing"",""ชุมพร!I396"")"),0)</f>
        <v>0</v>
      </c>
      <c r="J501" s="166">
        <f ca="1">IFERROR(__xludf.DUMMYFUNCTION("IMPORTRANGE(""https://docs.google.com/spreadsheets/d/1IYY_tgx_IHuhSq3AJ5eI5OnqOPBNLWSHKh2a30DoXe8/edit?usp=sharing"",""ชุมพร!J396"")"),89)</f>
        <v>89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IFERROR(__xludf.DUMMYFUNCTION("IMPORTRANGE(""https://docs.google.com/spreadsheets/d/1IYY_tgx_IHuhSq3AJ5eI5OnqOPBNLWSHKh2a30DoXe8/edit?usp=sharing"",""ชุมพร!I397"")"),0)</f>
        <v>0</v>
      </c>
      <c r="J502" s="195">
        <f ca="1">IFERROR(__xludf.DUMMYFUNCTION("IMPORTRANGE(""https://docs.google.com/spreadsheets/d/1IYY_tgx_IHuhSq3AJ5eI5OnqOPBNLWSHKh2a30DoXe8/edit?usp=sharing"",""ชุมพร!J397"")"),622)</f>
        <v>622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IFERROR(__xludf.DUMMYFUNCTION("IMPORTRANGE(""https://docs.google.com/spreadsheets/d/1IYY_tgx_IHuhSq3AJ5eI5OnqOPBNLWSHKh2a30DoXe8/edit?usp=sharing"",""ชุมพร!I398"")"),0)</f>
        <v>0</v>
      </c>
      <c r="J503" s="204">
        <f ca="1">IFERROR(__xludf.DUMMYFUNCTION("IMPORTRANGE(""https://docs.google.com/spreadsheets/d/1IYY_tgx_IHuhSq3AJ5eI5OnqOPBNLWSHKh2a30DoXe8/edit?usp=sharing"",""ชุมพร!J398"")"),85)</f>
        <v>85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IFERROR(__xludf.DUMMYFUNCTION("IMPORTRANGE(""https://docs.google.com/spreadsheets/d/1IYY_tgx_IHuhSq3AJ5eI5OnqOPBNLWSHKh2a30DoXe8/edit?usp=sharing"",""ชุมพร!I399"")"),0)</f>
        <v>0</v>
      </c>
      <c r="J504" s="195">
        <f ca="1">IFERROR(__xludf.DUMMYFUNCTION("IMPORTRANGE(""https://docs.google.com/spreadsheets/d/1IYY_tgx_IHuhSq3AJ5eI5OnqOPBNLWSHKh2a30DoXe8/edit?usp=sharing"",""ชุมพร!J399"")"),25)</f>
        <v>25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IFERROR(__xludf.DUMMYFUNCTION("IMPORTRANGE(""https://docs.google.com/spreadsheets/d/1IYY_tgx_IHuhSq3AJ5eI5OnqOPBNLWSHKh2a30DoXe8/edit?usp=sharing"",""ชุมพร!I400"")"),0)</f>
        <v>0</v>
      </c>
      <c r="J505" s="204">
        <f ca="1">IFERROR(__xludf.DUMMYFUNCTION("IMPORTRANGE(""https://docs.google.com/spreadsheets/d/1IYY_tgx_IHuhSq3AJ5eI5OnqOPBNLWSHKh2a30DoXe8/edit?usp=sharing"",""ชุมพร!J400"")"),4)</f>
        <v>4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IFERROR(__xludf.DUMMYFUNCTION("IMPORTRANGE(""https://docs.google.com/spreadsheets/d/1IYY_tgx_IHuhSq3AJ5eI5OnqOPBNLWSHKh2a30DoXe8/edit?usp=sharing"",""ชุมพร!I401"")"),0)</f>
        <v>0</v>
      </c>
      <c r="J506" s="195">
        <f ca="1">IFERROR(__xludf.DUMMYFUNCTION("IMPORTRANGE(""https://docs.google.com/spreadsheets/d/1IYY_tgx_IHuhSq3AJ5eI5OnqOPBNLWSHKh2a30DoXe8/edit?usp=sharing"",""ชุมพร!J401"")"),0)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IFERROR(__xludf.DUMMYFUNCTION("IMPORTRANGE(""https://docs.google.com/spreadsheets/d/1IYY_tgx_IHuhSq3AJ5eI5OnqOPBNLWSHKh2a30DoXe8/edit?usp=sharing"",""ชุมพร!I402"")"),0)</f>
        <v>0</v>
      </c>
      <c r="J507" s="204">
        <f ca="1">IFERROR(__xludf.DUMMYFUNCTION("IMPORTRANGE(""https://docs.google.com/spreadsheets/d/1IYY_tgx_IHuhSq3AJ5eI5OnqOPBNLWSHKh2a30DoXe8/edit?usp=sharing"",""ชุมพร!J402"")"),0)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IFERROR(__xludf.DUMMYFUNCTION("IMPORTRANGE(""https://docs.google.com/spreadsheets/d/1IYY_tgx_IHuhSq3AJ5eI5OnqOPBNLWSHKh2a30DoXe8/edit?usp=sharing"",""ชุมพร!I403"")"),0)</f>
        <v>0</v>
      </c>
      <c r="J508" s="166">
        <f ca="1">IFERROR(__xludf.DUMMYFUNCTION("IMPORTRANGE(""https://docs.google.com/spreadsheets/d/1IYY_tgx_IHuhSq3AJ5eI5OnqOPBNLWSHKh2a30DoXe8/edit?usp=sharing"",""ชุมพร!J403"")"),12)</f>
        <v>12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IFERROR(__xludf.DUMMYFUNCTION("IMPORTRANGE(""https://docs.google.com/spreadsheets/d/1IYY_tgx_IHuhSq3AJ5eI5OnqOPBNLWSHKh2a30DoXe8/edit?usp=sharing"",""ชุมพร!I404"")"),0)</f>
        <v>0</v>
      </c>
      <c r="J509" s="166">
        <f ca="1">IFERROR(__xludf.DUMMYFUNCTION("IMPORTRANGE(""https://docs.google.com/spreadsheets/d/1IYY_tgx_IHuhSq3AJ5eI5OnqOPBNLWSHKh2a30DoXe8/edit?usp=sharing"",""ชุมพร!J404"")"),5)</f>
        <v>5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IFERROR(__xludf.DUMMYFUNCTION("IMPORTRANGE(""https://docs.google.com/spreadsheets/d/1IYY_tgx_IHuhSq3AJ5eI5OnqOPBNLWSHKh2a30DoXe8/edit?usp=sharing"",""ชุมพร!I405"")"),0)</f>
        <v>0</v>
      </c>
      <c r="J510" s="204">
        <f ca="1">IFERROR(__xludf.DUMMYFUNCTION("IMPORTRANGE(""https://docs.google.com/spreadsheets/d/1IYY_tgx_IHuhSq3AJ5eI5OnqOPBNLWSHKh2a30DoXe8/edit?usp=sharing"",""ชุมพร!J405"")"),12)</f>
        <v>12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IFERROR(__xludf.DUMMYFUNCTION("IMPORTRANGE(""https://docs.google.com/spreadsheets/d/1IYY_tgx_IHuhSq3AJ5eI5OnqOPBNLWSHKh2a30DoXe8/edit?usp=sharing"",""ชุมพร!I406"")"),0)</f>
        <v>0</v>
      </c>
      <c r="J511" s="204">
        <f ca="1">IFERROR(__xludf.DUMMYFUNCTION("IMPORTRANGE(""https://docs.google.com/spreadsheets/d/1IYY_tgx_IHuhSq3AJ5eI5OnqOPBNLWSHKh2a30DoXe8/edit?usp=sharing"",""ชุมพร!J406"")"),5)</f>
        <v>5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IFERROR(__xludf.DUMMYFUNCTION("IMPORTRANGE(""https://docs.google.com/spreadsheets/d/1IYY_tgx_IHuhSq3AJ5eI5OnqOPBNLWSHKh2a30DoXe8/edit?usp=sharing"",""ชุมพร!I407"")"),0)</f>
        <v>0</v>
      </c>
      <c r="J512" s="204">
        <f ca="1">IFERROR(__xludf.DUMMYFUNCTION("IMPORTRANGE(""https://docs.google.com/spreadsheets/d/1IYY_tgx_IHuhSq3AJ5eI5OnqOPBNLWSHKh2a30DoXe8/edit?usp=sharing"",""ชุมพร!J407"")"),0)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IFERROR(__xludf.DUMMYFUNCTION("IMPORTRANGE(""https://docs.google.com/spreadsheets/d/1IYY_tgx_IHuhSq3AJ5eI5OnqOPBNLWSHKh2a30DoXe8/edit?usp=sharing"",""ชุมพร!I408"")"),0)</f>
        <v>0</v>
      </c>
      <c r="J513" s="204">
        <f ca="1">IFERROR(__xludf.DUMMYFUNCTION("IMPORTRANGE(""https://docs.google.com/spreadsheets/d/1IYY_tgx_IHuhSq3AJ5eI5OnqOPBNLWSHKh2a30DoXe8/edit?usp=sharing"",""ชุมพร!J408"")"),0)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IFERROR(__xludf.DUMMYFUNCTION("IMPORTRANGE(""https://docs.google.com/spreadsheets/d/1IYY_tgx_IHuhSq3AJ5eI5OnqOPBNLWSHKh2a30DoXe8/edit?usp=sharing"",""ชุมพร!I409"")"),0)</f>
        <v>0</v>
      </c>
      <c r="J514" s="204">
        <f ca="1">IFERROR(__xludf.DUMMYFUNCTION("IMPORTRANGE(""https://docs.google.com/spreadsheets/d/1IYY_tgx_IHuhSq3AJ5eI5OnqOPBNLWSHKh2a30DoXe8/edit?usp=sharing"",""ชุมพร!J409"")"),0)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IFERROR(__xludf.DUMMYFUNCTION("IMPORTRANGE(""https://docs.google.com/spreadsheets/d/1IYY_tgx_IHuhSq3AJ5eI5OnqOPBNLWSHKh2a30DoXe8/edit?usp=sharing"",""ชุมพร!I410"")"),0)</f>
        <v>0</v>
      </c>
      <c r="J515" s="204">
        <f ca="1">IFERROR(__xludf.DUMMYFUNCTION("IMPORTRANGE(""https://docs.google.com/spreadsheets/d/1IYY_tgx_IHuhSq3AJ5eI5OnqOPBNLWSHKh2a30DoXe8/edit?usp=sharing"",""ชุมพร!J410"")"),0)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IFERROR(__xludf.DUMMYFUNCTION("IMPORTRANGE(""https://docs.google.com/spreadsheets/d/1IYY_tgx_IHuhSq3AJ5eI5OnqOPBNLWSHKh2a30DoXe8/edit?usp=sharing"",""ชุมพร!I411"")"),0)</f>
        <v>0</v>
      </c>
      <c r="J516" s="273">
        <f ca="1">IFERROR(__xludf.DUMMYFUNCTION("IMPORTRANGE(""https://docs.google.com/spreadsheets/d/1IYY_tgx_IHuhSq3AJ5eI5OnqOPBNLWSHKh2a30DoXe8/edit?usp=sharing"",""ชุมพร!J411"")"),0)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IFERROR(__xludf.DUMMYFUNCTION("IMPORTRANGE(""https://docs.google.com/spreadsheets/d/1IYY_tgx_IHuhSq3AJ5eI5OnqOPBNLWSHKh2a30DoXe8/edit?usp=sharing"",""ชุมพร!I412"")"),0)</f>
        <v>0</v>
      </c>
      <c r="J517" s="290">
        <f ca="1">IFERROR(__xludf.DUMMYFUNCTION("IMPORTRANGE(""https://docs.google.com/spreadsheets/d/1IYY_tgx_IHuhSq3AJ5eI5OnqOPBNLWSHKh2a30DoXe8/edit?usp=sharing"",""ชุมพร!J412"")"),0)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IFERROR(__xludf.DUMMYFUNCTION("IMPORTRANGE(""https://docs.google.com/spreadsheets/d/1IYY_tgx_IHuhSq3AJ5eI5OnqOPBNLWSHKh2a30DoXe8/edit?usp=sharing"",""ชุมพร!I413"")"),0)</f>
        <v>0</v>
      </c>
      <c r="J518" s="290">
        <f ca="1">IFERROR(__xludf.DUMMYFUNCTION("IMPORTRANGE(""https://docs.google.com/spreadsheets/d/1IYY_tgx_IHuhSq3AJ5eI5OnqOPBNLWSHKh2a30DoXe8/edit?usp=sharing"",""ชุมพร!J413"")"),0)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IFERROR(__xludf.DUMMYFUNCTION("IMPORTRANGE(""https://docs.google.com/spreadsheets/d/1IYY_tgx_IHuhSq3AJ5eI5OnqOPBNLWSHKh2a30DoXe8/edit?usp=sharing"",""ชุมพร!I414"")"),0)</f>
        <v>0</v>
      </c>
      <c r="J519" s="194">
        <f ca="1">IFERROR(__xludf.DUMMYFUNCTION("IMPORTRANGE(""https://docs.google.com/spreadsheets/d/1IYY_tgx_IHuhSq3AJ5eI5OnqOPBNLWSHKh2a30DoXe8/edit?usp=sharing"",""ชุมพร!J414"")"),0)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IFERROR(__xludf.DUMMYFUNCTION("IMPORTRANGE(""https://docs.google.com/spreadsheets/d/1IYY_tgx_IHuhSq3AJ5eI5OnqOPBNLWSHKh2a30DoXe8/edit?usp=sharing"",""ชุมพร!I415"")"),0)</f>
        <v>0</v>
      </c>
      <c r="J520" s="194">
        <f ca="1">IFERROR(__xludf.DUMMYFUNCTION("IMPORTRANGE(""https://docs.google.com/spreadsheets/d/1IYY_tgx_IHuhSq3AJ5eI5OnqOPBNLWSHKh2a30DoXe8/edit?usp=sharing"",""ชุมพร!J415"")"),0)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IFERROR(__xludf.DUMMYFUNCTION("IMPORTRANGE(""https://docs.google.com/spreadsheets/d/1IYY_tgx_IHuhSq3AJ5eI5OnqOPBNLWSHKh2a30DoXe8/edit?usp=sharing"",""ชุมพร!I416"")"),0)</f>
        <v>0</v>
      </c>
      <c r="J521" s="194">
        <f ca="1">IFERROR(__xludf.DUMMYFUNCTION("IMPORTRANGE(""https://docs.google.com/spreadsheets/d/1IYY_tgx_IHuhSq3AJ5eI5OnqOPBNLWSHKh2a30DoXe8/edit?usp=sharing"",""ชุมพร!J416"")"),0)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IFERROR(__xludf.DUMMYFUNCTION("IMPORTRANGE(""https://docs.google.com/spreadsheets/d/1IYY_tgx_IHuhSq3AJ5eI5OnqOPBNLWSHKh2a30DoXe8/edit?usp=sharing"",""ชุมพร!I417"")"),0)</f>
        <v>0</v>
      </c>
      <c r="J522" s="194">
        <f ca="1">IFERROR(__xludf.DUMMYFUNCTION("IMPORTRANGE(""https://docs.google.com/spreadsheets/d/1IYY_tgx_IHuhSq3AJ5eI5OnqOPBNLWSHKh2a30DoXe8/edit?usp=sharing"",""ชุมพร!J417"")"),0)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IFERROR(__xludf.DUMMYFUNCTION("IMPORTRANGE(""https://docs.google.com/spreadsheets/d/1IYY_tgx_IHuhSq3AJ5eI5OnqOPBNLWSHKh2a30DoXe8/edit?usp=sharing"",""ชุมพร!I418"")"),0)</f>
        <v>0</v>
      </c>
      <c r="J523" s="194">
        <f ca="1">IFERROR(__xludf.DUMMYFUNCTION("IMPORTRANGE(""https://docs.google.com/spreadsheets/d/1IYY_tgx_IHuhSq3AJ5eI5OnqOPBNLWSHKh2a30DoXe8/edit?usp=sharing"",""ชุมพร!J418"")"),179)</f>
        <v>179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IFERROR(__xludf.DUMMYFUNCTION("IMPORTRANGE(""https://docs.google.com/spreadsheets/d/1IYY_tgx_IHuhSq3AJ5eI5OnqOPBNLWSHKh2a30DoXe8/edit?usp=sharing"",""ชุมพร!I419"")"),0)</f>
        <v>0</v>
      </c>
      <c r="J524" s="194">
        <f ca="1">IFERROR(__xludf.DUMMYFUNCTION("IMPORTRANGE(""https://docs.google.com/spreadsheets/d/1IYY_tgx_IHuhSq3AJ5eI5OnqOPBNLWSHKh2a30DoXe8/edit?usp=sharing"",""ชุมพร!J419"")"),19)</f>
        <v>19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IFERROR(__xludf.DUMMYFUNCTION("IMPORTRANGE(""https://docs.google.com/spreadsheets/d/1IYY_tgx_IHuhSq3AJ5eI5OnqOPBNLWSHKh2a30DoXe8/edit?usp=sharing"",""ชุมพร!I420"")"),179)</f>
        <v>179</v>
      </c>
      <c r="J525" s="290">
        <f ca="1">IFERROR(__xludf.DUMMYFUNCTION("IMPORTRANGE(""https://docs.google.com/spreadsheets/d/1IYY_tgx_IHuhSq3AJ5eI5OnqOPBNLWSHKh2a30DoXe8/edit?usp=sharing"",""ชุมพร!J420"")"),0)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IFERROR(__xludf.DUMMYFUNCTION("IMPORTRANGE(""https://docs.google.com/spreadsheets/d/1IYY_tgx_IHuhSq3AJ5eI5OnqOPBNLWSHKh2a30DoXe8/edit?usp=sharing"",""ชุมพร!I421"")"),19)</f>
        <v>19</v>
      </c>
      <c r="J526" s="290">
        <f ca="1">IFERROR(__xludf.DUMMYFUNCTION("IMPORTRANGE(""https://docs.google.com/spreadsheets/d/1IYY_tgx_IHuhSq3AJ5eI5OnqOPBNLWSHKh2a30DoXe8/edit?usp=sharing"",""ชุมพร!J421"")"),0)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IFERROR(__xludf.DUMMYFUNCTION("IMPORTRANGE(""https://docs.google.com/spreadsheets/d/1IYY_tgx_IHuhSq3AJ5eI5OnqOPBNLWSHKh2a30DoXe8/edit?usp=sharing"",""ชุมพร!I422"")"),0)</f>
        <v>0</v>
      </c>
      <c r="J527" s="204">
        <f ca="1">IFERROR(__xludf.DUMMYFUNCTION("IMPORTRANGE(""https://docs.google.com/spreadsheets/d/1IYY_tgx_IHuhSq3AJ5eI5OnqOPBNLWSHKh2a30DoXe8/edit?usp=sharing"",""ชุมพร!J422"")"),0)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IFERROR(__xludf.DUMMYFUNCTION("IMPORTRANGE(""https://docs.google.com/spreadsheets/d/1IYY_tgx_IHuhSq3AJ5eI5OnqOPBNLWSHKh2a30DoXe8/edit?usp=sharing"",""ชุมพร!I423"")"),0)</f>
        <v>0</v>
      </c>
      <c r="J528" s="204">
        <f ca="1">IFERROR(__xludf.DUMMYFUNCTION("IMPORTRANGE(""https://docs.google.com/spreadsheets/d/1IYY_tgx_IHuhSq3AJ5eI5OnqOPBNLWSHKh2a30DoXe8/edit?usp=sharing"",""ชุมพร!J423"")"),0)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IFERROR(__xludf.DUMMYFUNCTION("IMPORTRANGE(""https://docs.google.com/spreadsheets/d/1IYY_tgx_IHuhSq3AJ5eI5OnqOPBNLWSHKh2a30DoXe8/edit?usp=sharing"",""ชุมพร!I424"")"),0)</f>
        <v>0</v>
      </c>
      <c r="J529" s="204">
        <f ca="1">IFERROR(__xludf.DUMMYFUNCTION("IMPORTRANGE(""https://docs.google.com/spreadsheets/d/1IYY_tgx_IHuhSq3AJ5eI5OnqOPBNLWSHKh2a30DoXe8/edit?usp=sharing"",""ชุมพร!J424"")"),0)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IFERROR(__xludf.DUMMYFUNCTION("IMPORTRANGE(""https://docs.google.com/spreadsheets/d/1IYY_tgx_IHuhSq3AJ5eI5OnqOPBNLWSHKh2a30DoXe8/edit?usp=sharing"",""ชุมพร!I425"")"),0)</f>
        <v>0</v>
      </c>
      <c r="J530" s="204">
        <f ca="1">IFERROR(__xludf.DUMMYFUNCTION("IMPORTRANGE(""https://docs.google.com/spreadsheets/d/1IYY_tgx_IHuhSq3AJ5eI5OnqOPBNLWSHKh2a30DoXe8/edit?usp=sharing"",""ชุมพร!J425"")"),0)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IFERROR(__xludf.DUMMYFUNCTION("IMPORTRANGE(""https://docs.google.com/spreadsheets/d/1IYY_tgx_IHuhSq3AJ5eI5OnqOPBNLWSHKh2a30DoXe8/edit?usp=sharing"",""ชุมพร!I426"")"),0)</f>
        <v>0</v>
      </c>
      <c r="J531" s="204">
        <f ca="1">IFERROR(__xludf.DUMMYFUNCTION("IMPORTRANGE(""https://docs.google.com/spreadsheets/d/1IYY_tgx_IHuhSq3AJ5eI5OnqOPBNLWSHKh2a30DoXe8/edit?usp=sharing"",""ชุมพร!J426"")"),0)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IFERROR(__xludf.DUMMYFUNCTION("IMPORTRANGE(""https://docs.google.com/spreadsheets/d/1IYY_tgx_IHuhSq3AJ5eI5OnqOPBNLWSHKh2a30DoXe8/edit?usp=sharing"",""ชุมพร!I427"")"),0)</f>
        <v>0</v>
      </c>
      <c r="J532" s="472">
        <f ca="1">IFERROR(__xludf.DUMMYFUNCTION("IMPORTRANGE(""https://docs.google.com/spreadsheets/d/1IYY_tgx_IHuhSq3AJ5eI5OnqOPBNLWSHKh2a30DoXe8/edit?usp=sharing"",""ชุมพร!J427"")"),0)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IFERROR(__xludf.DUMMYFUNCTION("IMPORTRANGE(""https://docs.google.com/spreadsheets/d/1IYY_tgx_IHuhSq3AJ5eI5OnqOPBNLWSHKh2a30DoXe8/edit?usp=sharing"",""ชุมพร!I428"")"),26)</f>
        <v>26</v>
      </c>
      <c r="J533" s="416">
        <f ca="1">IFERROR(__xludf.DUMMYFUNCTION("IMPORTRANGE(""https://docs.google.com/spreadsheets/d/1IYY_tgx_IHuhSq3AJ5eI5OnqOPBNLWSHKh2a30DoXe8/edit?usp=sharing"",""ชุมพร!J428"")"),26)</f>
        <v>26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IFERROR(__xludf.DUMMYFUNCTION("IMPORTRANGE(""https://docs.google.com/spreadsheets/d/1IYY_tgx_IHuhSq3AJ5eI5OnqOPBNLWSHKh2a30DoXe8/edit?usp=sharing"",""ชุมพร!L428"")"),37740)</f>
        <v>37740</v>
      </c>
      <c r="M533" s="418"/>
      <c r="N533" s="418">
        <f ca="1">IFERROR(__xludf.DUMMYFUNCTION("IMPORTRANGE(""https://docs.google.com/spreadsheets/d/1IYY_tgx_IHuhSq3AJ5eI5OnqOPBNLWSHKh2a30DoXe8/edit?usp=sharing"",""ชุมพร!M428"")"),37740)</f>
        <v>37740</v>
      </c>
      <c r="O533" s="418">
        <f t="shared" ref="O533:O537" ca="1" si="118">+IF(L533&gt;0,N533*100/L533,0)</f>
        <v>100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IFERROR(__xludf.DUMMYFUNCTION("IMPORTRANGE(""https://docs.google.com/spreadsheets/d/1IYY_tgx_IHuhSq3AJ5eI5OnqOPBNLWSHKh2a30DoXe8/edit?usp=sharing"",""ชุมพร!L429"")"),0)</f>
        <v>0</v>
      </c>
      <c r="M534" s="168"/>
      <c r="N534" s="175">
        <f ca="1">IFERROR(__xludf.DUMMYFUNCTION("IMPORTRANGE(""https://docs.google.com/spreadsheets/d/1IYY_tgx_IHuhSq3AJ5eI5OnqOPBNLWSHKh2a30DoXe8/edit?usp=sharing"",""ชุมพร!M429"")"),0)</f>
        <v>0</v>
      </c>
      <c r="O534" s="175">
        <f t="shared" ca="1" si="118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IFERROR(__xludf.DUMMYFUNCTION("IMPORTRANGE(""https://docs.google.com/spreadsheets/d/1IYY_tgx_IHuhSq3AJ5eI5OnqOPBNLWSHKh2a30DoXe8/edit?usp=sharing"",""ชุมพร!L430"")"),37740)</f>
        <v>37740</v>
      </c>
      <c r="M535" s="169"/>
      <c r="N535" s="175">
        <f ca="1">IFERROR(__xludf.DUMMYFUNCTION("IMPORTRANGE(""https://docs.google.com/spreadsheets/d/1IYY_tgx_IHuhSq3AJ5eI5OnqOPBNLWSHKh2a30DoXe8/edit?usp=sharing"",""ชุมพร!M430"")"),37740)</f>
        <v>37740</v>
      </c>
      <c r="O535" s="175">
        <f t="shared" ca="1" si="118"/>
        <v>100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IFERROR(__xludf.DUMMYFUNCTION("IMPORTRANGE(""https://docs.google.com/spreadsheets/d/1IYY_tgx_IHuhSq3AJ5eI5OnqOPBNLWSHKh2a30DoXe8/edit?usp=sharing"",""ชุมพร!L431"")"),0)</f>
        <v>0</v>
      </c>
      <c r="M536" s="175"/>
      <c r="N536" s="175">
        <f ca="1">IFERROR(__xludf.DUMMYFUNCTION("IMPORTRANGE(""https://docs.google.com/spreadsheets/d/1IYY_tgx_IHuhSq3AJ5eI5OnqOPBNLWSHKh2a30DoXe8/edit?usp=sharing"",""ชุมพร!M431"")"),0)</f>
        <v>0</v>
      </c>
      <c r="O536" s="175">
        <f t="shared" ca="1" si="118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IFERROR(__xludf.DUMMYFUNCTION("IMPORTRANGE(""https://docs.google.com/spreadsheets/d/1IYY_tgx_IHuhSq3AJ5eI5OnqOPBNLWSHKh2a30DoXe8/edit?usp=sharing"",""ชุมพร!L432"")"),37740)</f>
        <v>37740</v>
      </c>
      <c r="M537" s="175"/>
      <c r="N537" s="175">
        <f ca="1">IFERROR(__xludf.DUMMYFUNCTION("IMPORTRANGE(""https://docs.google.com/spreadsheets/d/1IYY_tgx_IHuhSq3AJ5eI5OnqOPBNLWSHKh2a30DoXe8/edit?usp=sharing"",""ชุมพร!M432"")"),37740)</f>
        <v>37740</v>
      </c>
      <c r="O537" s="175">
        <f t="shared" ca="1" si="118"/>
        <v>100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IFERROR(__xludf.DUMMYFUNCTION("IMPORTRANGE(""https://docs.google.com/spreadsheets/d/1IYY_tgx_IHuhSq3AJ5eI5OnqOPBNLWSHKh2a30DoXe8/edit?usp=sharing"",""ชุมพร!M433"")"),22200)</f>
        <v>22200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IFERROR(__xludf.DUMMYFUNCTION("IMPORTRANGE(""https://docs.google.com/spreadsheets/d/1IYY_tgx_IHuhSq3AJ5eI5OnqOPBNLWSHKh2a30DoXe8/edit?usp=sharing"",""ชุมพร!M434"")"),0)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IFERROR(__xludf.DUMMYFUNCTION("IMPORTRANGE(""https://docs.google.com/spreadsheets/d/1IYY_tgx_IHuhSq3AJ5eI5OnqOPBNLWSHKh2a30DoXe8/edit?usp=sharing"",""ชุมพร!M435"")"),0)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IFERROR(__xludf.DUMMYFUNCTION("IMPORTRANGE(""https://docs.google.com/spreadsheets/d/1IYY_tgx_IHuhSq3AJ5eI5OnqOPBNLWSHKh2a30DoXe8/edit?usp=sharing"",""ชุมพร!M436"")"),15540)</f>
        <v>15540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IFERROR(__xludf.DUMMYFUNCTION("IMPORTRANGE(""https://docs.google.com/spreadsheets/d/1IYY_tgx_IHuhSq3AJ5eI5OnqOPBNLWSHKh2a30DoXe8/edit?usp=sharing"",""ชุมพร!J438"")"),0)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IFERROR(__xludf.DUMMYFUNCTION("IMPORTRANGE(""https://docs.google.com/spreadsheets/d/1IYY_tgx_IHuhSq3AJ5eI5OnqOPBNLWSHKh2a30DoXe8/edit?usp=sharing"",""ชุมพร!J439"")"),1)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IFERROR(__xludf.DUMMYFUNCTION("IMPORTRANGE(""https://docs.google.com/spreadsheets/d/1IYY_tgx_IHuhSq3AJ5eI5OnqOPBNLWSHKh2a30DoXe8/edit?usp=sharing"",""ชุมพร!J440"")"),1)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IFERROR(__xludf.DUMMYFUNCTION("IMPORTRANGE(""https://docs.google.com/spreadsheets/d/1IYY_tgx_IHuhSq3AJ5eI5OnqOPBNLWSHKh2a30DoXe8/edit?usp=sharing"",""ชุมพร!J441"")"),1)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IFERROR(__xludf.DUMMYFUNCTION("IMPORTRANGE(""https://docs.google.com/spreadsheets/d/1IYY_tgx_IHuhSq3AJ5eI5OnqOPBNLWSHKh2a30DoXe8/edit?usp=sharing"",""ชุมพร!I442"")"),26)</f>
        <v>26</v>
      </c>
      <c r="J547" s="195">
        <f ca="1">IFERROR(__xludf.DUMMYFUNCTION("IMPORTRANGE(""https://docs.google.com/spreadsheets/d/1IYY_tgx_IHuhSq3AJ5eI5OnqOPBNLWSHKh2a30DoXe8/edit?usp=sharing"",""ชุมพร!J442"")"),26)</f>
        <v>26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IFERROR(__xludf.DUMMYFUNCTION("IMPORTRANGE(""https://docs.google.com/spreadsheets/d/1IYY_tgx_IHuhSq3AJ5eI5OnqOPBNLWSHKh2a30DoXe8/edit?usp=sharing"",""ชุมพร!J166"")"),0)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IFERROR(__xludf.DUMMYFUNCTION("IMPORTRANGE(""https://docs.google.com/spreadsheets/d/1IYY_tgx_IHuhSq3AJ5eI5OnqOPBNLWSHKh2a30DoXe8/edit?usp=sharing"",""ชุมพร!J444"")"),0)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IFERROR(__xludf.DUMMYFUNCTION("IMPORTRANGE(""https://docs.google.com/spreadsheets/d/1IYY_tgx_IHuhSq3AJ5eI5OnqOPBNLWSHKh2a30DoXe8/edit?usp=sharing"",""ชุมพร!J445"")"),0)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IFERROR(__xludf.DUMMYFUNCTION("IMPORTRANGE(""https://docs.google.com/spreadsheets/d/1IYY_tgx_IHuhSq3AJ5eI5OnqOPBNLWSHKh2a30DoXe8/edit?usp=sharing"",""ชุมพร!I446"")"),0)</f>
        <v>0</v>
      </c>
      <c r="J551" s="416">
        <f ca="1">IFERROR(__xludf.DUMMYFUNCTION("IMPORTRANGE(""https://docs.google.com/spreadsheets/d/1IYY_tgx_IHuhSq3AJ5eI5OnqOPBNLWSHKh2a30DoXe8/edit?usp=sharing"",""ชุมพร!J446"")"),0)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IFERROR(__xludf.DUMMYFUNCTION("IMPORTRANGE(""https://docs.google.com/spreadsheets/d/1IYY_tgx_IHuhSq3AJ5eI5OnqOPBNLWSHKh2a30DoXe8/edit?usp=sharing"",""ชุมพร!L446"")"),0)</f>
        <v>0</v>
      </c>
      <c r="M551" s="418"/>
      <c r="N551" s="418">
        <f ca="1">IFERROR(__xludf.DUMMYFUNCTION("IMPORTRANGE(""https://docs.google.com/spreadsheets/d/1IYY_tgx_IHuhSq3AJ5eI5OnqOPBNLWSHKh2a30DoXe8/edit?usp=sharing"",""ชุมพร!M446"")"),0)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IFERROR(__xludf.DUMMYFUNCTION("IMPORTRANGE(""https://docs.google.com/spreadsheets/d/1IYY_tgx_IHuhSq3AJ5eI5OnqOPBNLWSHKh2a30DoXe8/edit?usp=sharing"",""ชุมพร!L447"")"),0)</f>
        <v>0</v>
      </c>
      <c r="M552" s="168"/>
      <c r="N552" s="175">
        <f ca="1">IFERROR(__xludf.DUMMYFUNCTION("IMPORTRANGE(""https://docs.google.com/spreadsheets/d/1IYY_tgx_IHuhSq3AJ5eI5OnqOPBNLWSHKh2a30DoXe8/edit?usp=sharing"",""ชุมพร!M447"")"),0)</f>
        <v>0</v>
      </c>
      <c r="O552" s="175">
        <f t="shared" ca="1" si="120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IFERROR(__xludf.DUMMYFUNCTION("IMPORTRANGE(""https://docs.google.com/spreadsheets/d/1IYY_tgx_IHuhSq3AJ5eI5OnqOPBNLWSHKh2a30DoXe8/edit?usp=sharing"",""ชุมพร!L448"")"),0)</f>
        <v>0</v>
      </c>
      <c r="M553" s="169"/>
      <c r="N553" s="175">
        <f ca="1">IFERROR(__xludf.DUMMYFUNCTION("IMPORTRANGE(""https://docs.google.com/spreadsheets/d/1IYY_tgx_IHuhSq3AJ5eI5OnqOPBNLWSHKh2a30DoXe8/edit?usp=sharing"",""ชุมพร!M448"")"),0)</f>
        <v>0</v>
      </c>
      <c r="O553" s="175">
        <f t="shared" ca="1" si="120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IFERROR(__xludf.DUMMYFUNCTION("IMPORTRANGE(""https://docs.google.com/spreadsheets/d/1IYY_tgx_IHuhSq3AJ5eI5OnqOPBNLWSHKh2a30DoXe8/edit?usp=sharing"",""ชุมพร!L449"")"),0)</f>
        <v>0</v>
      </c>
      <c r="M554" s="175"/>
      <c r="N554" s="175">
        <f ca="1">IFERROR(__xludf.DUMMYFUNCTION("IMPORTRANGE(""https://docs.google.com/spreadsheets/d/1IYY_tgx_IHuhSq3AJ5eI5OnqOPBNLWSHKh2a30DoXe8/edit?usp=sharing"",""ชุมพร!M449"")"),0)</f>
        <v>0</v>
      </c>
      <c r="O554" s="175">
        <f t="shared" ca="1" si="120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IFERROR(__xludf.DUMMYFUNCTION("IMPORTRANGE(""https://docs.google.com/spreadsheets/d/1IYY_tgx_IHuhSq3AJ5eI5OnqOPBNLWSHKh2a30DoXe8/edit?usp=sharing"",""ชุมพร!L450"")"),0)</f>
        <v>0</v>
      </c>
      <c r="M555" s="175"/>
      <c r="N555" s="175">
        <f ca="1">IFERROR(__xludf.DUMMYFUNCTION("IMPORTRANGE(""https://docs.google.com/spreadsheets/d/1IYY_tgx_IHuhSq3AJ5eI5OnqOPBNLWSHKh2a30DoXe8/edit?usp=sharing"",""ชุมพร!M450"")"),0)</f>
        <v>0</v>
      </c>
      <c r="O555" s="175">
        <f t="shared" ca="1" si="120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IFERROR(__xludf.DUMMYFUNCTION("IMPORTRANGE(""https://docs.google.com/spreadsheets/d/1IYY_tgx_IHuhSq3AJ5eI5OnqOPBNLWSHKh2a30DoXe8/edit?usp=sharing"",""ชุมพร!M451"")"),0)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IFERROR(__xludf.DUMMYFUNCTION("IMPORTRANGE(""https://docs.google.com/spreadsheets/d/1IYY_tgx_IHuhSq3AJ5eI5OnqOPBNLWSHKh2a30DoXe8/edit?usp=sharing"",""ชุมพร!M452"")"),0)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IFERROR(__xludf.DUMMYFUNCTION("IMPORTRANGE(""https://docs.google.com/spreadsheets/d/1IYY_tgx_IHuhSq3AJ5eI5OnqOPBNLWSHKh2a30DoXe8/edit?usp=sharing"",""ชุมพร!M453"")"),0)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IFERROR(__xludf.DUMMYFUNCTION("IMPORTRANGE(""https://docs.google.com/spreadsheets/d/1IYY_tgx_IHuhSq3AJ5eI5OnqOPBNLWSHKh2a30DoXe8/edit?usp=sharing"",""ชุมพร!M454"")"),0)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IFERROR(__xludf.DUMMYFUNCTION("IMPORTRANGE(""https://docs.google.com/spreadsheets/d/1IYY_tgx_IHuhSq3AJ5eI5OnqOPBNLWSHKh2a30DoXe8/edit?usp=sharing"",""ชุมพร!I455"")"),0)</f>
        <v>0</v>
      </c>
      <c r="J560" s="166">
        <f ca="1">IFERROR(__xludf.DUMMYFUNCTION("IMPORTRANGE(""https://docs.google.com/spreadsheets/d/1IYY_tgx_IHuhSq3AJ5eI5OnqOPBNLWSHKh2a30DoXe8/edit?usp=sharing"",""ชุมพร!J455"")"),0)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IFERROR(__xludf.DUMMYFUNCTION("IMPORTRANGE(""https://docs.google.com/spreadsheets/d/1IYY_tgx_IHuhSq3AJ5eI5OnqOPBNLWSHKh2a30DoXe8/edit?usp=sharing"",""ชุมพร!I456"")"),0)</f>
        <v>0</v>
      </c>
      <c r="J561" s="210">
        <f ca="1">IFERROR(__xludf.DUMMYFUNCTION("IMPORTRANGE(""https://docs.google.com/spreadsheets/d/1IYY_tgx_IHuhSq3AJ5eI5OnqOPBNLWSHKh2a30DoXe8/edit?usp=sharing"",""ชุมพร!J456"")"),0)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IFERROR(__xludf.DUMMYFUNCTION("IMPORTRANGE(""https://docs.google.com/spreadsheets/d/1IYY_tgx_IHuhSq3AJ5eI5OnqOPBNLWSHKh2a30DoXe8/edit?usp=sharing"",""ชุมพร!I459"")"),1500)</f>
        <v>1500</v>
      </c>
      <c r="J564" s="377">
        <f ca="1">IFERROR(__xludf.DUMMYFUNCTION("IMPORTRANGE(""https://docs.google.com/spreadsheets/d/1IYY_tgx_IHuhSq3AJ5eI5OnqOPBNLWSHKh2a30DoXe8/edit?usp=sharing"",""ชุมพร!J459"")"),7291)</f>
        <v>7291</v>
      </c>
      <c r="K564" s="378">
        <f ca="1">IF(I564&gt;0,J564*100/I564,0)</f>
        <v>486.06666666666666</v>
      </c>
      <c r="L564" s="379">
        <f ca="1">IFERROR(__xludf.DUMMYFUNCTION("IMPORTRANGE(""https://docs.google.com/spreadsheets/d/1IYY_tgx_IHuhSq3AJ5eI5OnqOPBNLWSHKh2a30DoXe8/edit?usp=sharing"",""ชุมพร!L459"")"),136000)</f>
        <v>136000</v>
      </c>
      <c r="M564" s="379"/>
      <c r="N564" s="379">
        <f ca="1">IFERROR(__xludf.DUMMYFUNCTION("IMPORTRANGE(""https://docs.google.com/spreadsheets/d/1IYY_tgx_IHuhSq3AJ5eI5OnqOPBNLWSHKh2a30DoXe8/edit?usp=sharing"",""ชุมพร!M459"")"),127151)</f>
        <v>127151</v>
      </c>
      <c r="O564" s="379">
        <f t="shared" ref="O564:O568" ca="1" si="122">+IF(L564&gt;0,N564*100/L564,0)</f>
        <v>93.493382352941182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IFERROR(__xludf.DUMMYFUNCTION("IMPORTRANGE(""https://docs.google.com/spreadsheets/d/1IYY_tgx_IHuhSq3AJ5eI5OnqOPBNLWSHKh2a30DoXe8/edit?usp=sharing"",""ชุมพร!L460"")"),0)</f>
        <v>0</v>
      </c>
      <c r="M565" s="168"/>
      <c r="N565" s="175">
        <f ca="1">IFERROR(__xludf.DUMMYFUNCTION("IMPORTRANGE(""https://docs.google.com/spreadsheets/d/1IYY_tgx_IHuhSq3AJ5eI5OnqOPBNLWSHKh2a30DoXe8/edit?usp=sharing"",""ชุมพร!M460"")"),0)</f>
        <v>0</v>
      </c>
      <c r="O565" s="175">
        <f t="shared" ca="1" si="122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IFERROR(__xludf.DUMMYFUNCTION("IMPORTRANGE(""https://docs.google.com/spreadsheets/d/1IYY_tgx_IHuhSq3AJ5eI5OnqOPBNLWSHKh2a30DoXe8/edit?usp=sharing"",""ชุมพร!L461"")"),136000)</f>
        <v>136000</v>
      </c>
      <c r="M566" s="169"/>
      <c r="N566" s="175">
        <f ca="1">IFERROR(__xludf.DUMMYFUNCTION("IMPORTRANGE(""https://docs.google.com/spreadsheets/d/1IYY_tgx_IHuhSq3AJ5eI5OnqOPBNLWSHKh2a30DoXe8/edit?usp=sharing"",""ชุมพร!M461"")"),127151)</f>
        <v>127151</v>
      </c>
      <c r="O566" s="175">
        <f t="shared" ca="1" si="122"/>
        <v>93.493382352941182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IFERROR(__xludf.DUMMYFUNCTION("IMPORTRANGE(""https://docs.google.com/spreadsheets/d/1IYY_tgx_IHuhSq3AJ5eI5OnqOPBNLWSHKh2a30DoXe8/edit?usp=sharing"",""ชุมพร!L462"")"),0)</f>
        <v>0</v>
      </c>
      <c r="M567" s="175"/>
      <c r="N567" s="175">
        <f ca="1">IFERROR(__xludf.DUMMYFUNCTION("IMPORTRANGE(""https://docs.google.com/spreadsheets/d/1IYY_tgx_IHuhSq3AJ5eI5OnqOPBNLWSHKh2a30DoXe8/edit?usp=sharing"",""ชุมพร!M462"")"),0)</f>
        <v>0</v>
      </c>
      <c r="O567" s="175">
        <f t="shared" ca="1" si="122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IFERROR(__xludf.DUMMYFUNCTION("IMPORTRANGE(""https://docs.google.com/spreadsheets/d/1IYY_tgx_IHuhSq3AJ5eI5OnqOPBNLWSHKh2a30DoXe8/edit?usp=sharing"",""ชุมพร!L463"")"),136000)</f>
        <v>136000</v>
      </c>
      <c r="M568" s="175"/>
      <c r="N568" s="175">
        <f ca="1">IFERROR(__xludf.DUMMYFUNCTION("IMPORTRANGE(""https://docs.google.com/spreadsheets/d/1IYY_tgx_IHuhSq3AJ5eI5OnqOPBNLWSHKh2a30DoXe8/edit?usp=sharing"",""ชุมพร!M463"")"),127151)</f>
        <v>127151</v>
      </c>
      <c r="O568" s="175">
        <f t="shared" ca="1" si="122"/>
        <v>93.493382352941182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IFERROR(__xludf.DUMMYFUNCTION("IMPORTRANGE(""https://docs.google.com/spreadsheets/d/1IYY_tgx_IHuhSq3AJ5eI5OnqOPBNLWSHKh2a30DoXe8/edit?usp=sharing"",""ชุมพร!M464"")"),0)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IFERROR(__xludf.DUMMYFUNCTION("IMPORTRANGE(""https://docs.google.com/spreadsheets/d/1IYY_tgx_IHuhSq3AJ5eI5OnqOPBNLWSHKh2a30DoXe8/edit?usp=sharing"",""ชุมพร!M465"")"),0)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IFERROR(__xludf.DUMMYFUNCTION("IMPORTRANGE(""https://docs.google.com/spreadsheets/d/1IYY_tgx_IHuhSq3AJ5eI5OnqOPBNLWSHKh2a30DoXe8/edit?usp=sharing"",""ชุมพร!M466"")"),96441)</f>
        <v>96441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IFERROR(__xludf.DUMMYFUNCTION("IMPORTRANGE(""https://docs.google.com/spreadsheets/d/1IYY_tgx_IHuhSq3AJ5eI5OnqOPBNLWSHKh2a30DoXe8/edit?usp=sharing"",""ชุมพร!M467"")"),30710)</f>
        <v>30710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IFERROR(__xludf.DUMMYFUNCTION("IMPORTRANGE(""https://docs.google.com/spreadsheets/d/1IYY_tgx_IHuhSq3AJ5eI5OnqOPBNLWSHKh2a30DoXe8/edit?usp=sharing"",""ชุมพร!I468"")"),1500)</f>
        <v>1500</v>
      </c>
      <c r="J573" s="426">
        <f ca="1">IFERROR(__xludf.DUMMYFUNCTION("IMPORTRANGE(""https://docs.google.com/spreadsheets/d/1IYY_tgx_IHuhSq3AJ5eI5OnqOPBNLWSHKh2a30DoXe8/edit?usp=sharing"",""ชุมพร!J468"")"),7291)</f>
        <v>7291</v>
      </c>
      <c r="K573" s="208">
        <f ca="1">IF(I573&gt;0,J573*100/I573,0)</f>
        <v>486.06666666666666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IFERROR(__xludf.DUMMYFUNCTION("IMPORTRANGE(""https://docs.google.com/spreadsheets/d/1IYY_tgx_IHuhSq3AJ5eI5OnqOPBNLWSHKh2a30DoXe8/edit?usp=sharing"",""ชุมพร!I470"")"),0)</f>
        <v>0</v>
      </c>
      <c r="J575" s="204">
        <f ca="1">IFERROR(__xludf.DUMMYFUNCTION("IMPORTRANGE(""https://docs.google.com/spreadsheets/d/1IYY_tgx_IHuhSq3AJ5eI5OnqOPBNLWSHKh2a30DoXe8/edit?usp=sharing"",""ชุมพร!J470"")"),2)</f>
        <v>2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IFERROR(__xludf.DUMMYFUNCTION("IMPORTRANGE(""https://docs.google.com/spreadsheets/d/1IYY_tgx_IHuhSq3AJ5eI5OnqOPBNLWSHKh2a30DoXe8/edit?usp=sharing"",""ชุมพร!I471"")"),0)</f>
        <v>0</v>
      </c>
      <c r="J576" s="204">
        <f ca="1">IFERROR(__xludf.DUMMYFUNCTION("IMPORTRANGE(""https://docs.google.com/spreadsheets/d/1IYY_tgx_IHuhSq3AJ5eI5OnqOPBNLWSHKh2a30DoXe8/edit?usp=sharing"",""ชุมพร!J471"")"),39)</f>
        <v>39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IFERROR(__xludf.DUMMYFUNCTION("IMPORTRANGE(""https://docs.google.com/spreadsheets/d/1IYY_tgx_IHuhSq3AJ5eI5OnqOPBNLWSHKh2a30DoXe8/edit?usp=sharing"",""ชุมพร!I472"")"),0)</f>
        <v>0</v>
      </c>
      <c r="J577" s="195">
        <f ca="1">IFERROR(__xludf.DUMMYFUNCTION("IMPORTRANGE(""https://docs.google.com/spreadsheets/d/1IYY_tgx_IHuhSq3AJ5eI5OnqOPBNLWSHKh2a30DoXe8/edit?usp=sharing"",""ชุมพร!J472"")"),7252)</f>
        <v>7252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IFERROR(__xludf.DUMMYFUNCTION("IMPORTRANGE(""https://docs.google.com/spreadsheets/d/1IYY_tgx_IHuhSq3AJ5eI5OnqOPBNLWSHKh2a30DoXe8/edit?usp=sharing"",""ชุมพร!I473"")"),0)</f>
        <v>0</v>
      </c>
      <c r="J578" s="204">
        <f ca="1">IFERROR(__xludf.DUMMYFUNCTION("IMPORTRANGE(""https://docs.google.com/spreadsheets/d/1IYY_tgx_IHuhSq3AJ5eI5OnqOPBNLWSHKh2a30DoXe8/edit?usp=sharing"",""ชุมพร!J473"")"),0)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IFERROR(__xludf.DUMMYFUNCTION("IMPORTRANGE(""https://docs.google.com/spreadsheets/d/1IYY_tgx_IHuhSq3AJ5eI5OnqOPBNLWSHKh2a30DoXe8/edit?usp=sharing"",""ชุมพร!I474"")"),0)</f>
        <v>0</v>
      </c>
      <c r="J579" s="204">
        <f ca="1">IFERROR(__xludf.DUMMYFUNCTION("IMPORTRANGE(""https://docs.google.com/spreadsheets/d/1IYY_tgx_IHuhSq3AJ5eI5OnqOPBNLWSHKh2a30DoXe8/edit?usp=sharing"",""ชุมพร!J474"")"),0)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IFERROR(__xludf.DUMMYFUNCTION("IMPORTRANGE(""https://docs.google.com/spreadsheets/d/1IYY_tgx_IHuhSq3AJ5eI5OnqOPBNLWSHKh2a30DoXe8/edit?usp=sharing"",""ชุมพร!I475"")"),0)</f>
        <v>0</v>
      </c>
      <c r="J580" s="377">
        <f ca="1">IFERROR(__xludf.DUMMYFUNCTION("IMPORTRANGE(""https://docs.google.com/spreadsheets/d/1IYY_tgx_IHuhSq3AJ5eI5OnqOPBNLWSHKh2a30DoXe8/edit?usp=sharing"",""ชุมพร!J475"")"),0)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IFERROR(__xludf.DUMMYFUNCTION("IMPORTRANGE(""https://docs.google.com/spreadsheets/d/1IYY_tgx_IHuhSq3AJ5eI5OnqOPBNLWSHKh2a30DoXe8/edit?usp=sharing"",""ชุมพร!L475"")"),0)</f>
        <v>0</v>
      </c>
      <c r="M580" s="379"/>
      <c r="N580" s="379">
        <f ca="1">IFERROR(__xludf.DUMMYFUNCTION("IMPORTRANGE(""https://docs.google.com/spreadsheets/d/1IYY_tgx_IHuhSq3AJ5eI5OnqOPBNLWSHKh2a30DoXe8/edit?usp=sharing"",""ชุมพร!M475"")"),0)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IFERROR(__xludf.DUMMYFUNCTION("IMPORTRANGE(""https://docs.google.com/spreadsheets/d/1IYY_tgx_IHuhSq3AJ5eI5OnqOPBNLWSHKh2a30DoXe8/edit?usp=sharing"",""ชุมพร!L476"")"),0)</f>
        <v>0</v>
      </c>
      <c r="M581" s="168"/>
      <c r="N581" s="175">
        <f ca="1">IFERROR(__xludf.DUMMYFUNCTION("IMPORTRANGE(""https://docs.google.com/spreadsheets/d/1IYY_tgx_IHuhSq3AJ5eI5OnqOPBNLWSHKh2a30DoXe8/edit?usp=sharing"",""ชุมพร!M476"")"),0)</f>
        <v>0</v>
      </c>
      <c r="O581" s="175">
        <f t="shared" ca="1" si="124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IFERROR(__xludf.DUMMYFUNCTION("IMPORTRANGE(""https://docs.google.com/spreadsheets/d/1IYY_tgx_IHuhSq3AJ5eI5OnqOPBNLWSHKh2a30DoXe8/edit?usp=sharing"",""ชุมพร!L477"")"),0)</f>
        <v>0</v>
      </c>
      <c r="M582" s="169"/>
      <c r="N582" s="175">
        <f ca="1">IFERROR(__xludf.DUMMYFUNCTION("IMPORTRANGE(""https://docs.google.com/spreadsheets/d/1IYY_tgx_IHuhSq3AJ5eI5OnqOPBNLWSHKh2a30DoXe8/edit?usp=sharing"",""ชุมพร!M477"")"),0)</f>
        <v>0</v>
      </c>
      <c r="O582" s="175">
        <f t="shared" ca="1" si="124"/>
        <v>0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IFERROR(__xludf.DUMMYFUNCTION("IMPORTRANGE(""https://docs.google.com/spreadsheets/d/1IYY_tgx_IHuhSq3AJ5eI5OnqOPBNLWSHKh2a30DoXe8/edit?usp=sharing"",""ชุมพร!L478"")"),0)</f>
        <v>0</v>
      </c>
      <c r="M583" s="175"/>
      <c r="N583" s="175">
        <f ca="1">IFERROR(__xludf.DUMMYFUNCTION("IMPORTRANGE(""https://docs.google.com/spreadsheets/d/1IYY_tgx_IHuhSq3AJ5eI5OnqOPBNLWSHKh2a30DoXe8/edit?usp=sharing"",""ชุมพร!M478"")"),0)</f>
        <v>0</v>
      </c>
      <c r="O583" s="175">
        <f t="shared" ca="1" si="124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IFERROR(__xludf.DUMMYFUNCTION("IMPORTRANGE(""https://docs.google.com/spreadsheets/d/1IYY_tgx_IHuhSq3AJ5eI5OnqOPBNLWSHKh2a30DoXe8/edit?usp=sharing"",""ชุมพร!L479"")"),0)</f>
        <v>0</v>
      </c>
      <c r="M584" s="175"/>
      <c r="N584" s="175">
        <f ca="1">IFERROR(__xludf.DUMMYFUNCTION("IMPORTRANGE(""https://docs.google.com/spreadsheets/d/1IYY_tgx_IHuhSq3AJ5eI5OnqOPBNLWSHKh2a30DoXe8/edit?usp=sharing"",""ชุมพร!M479"")"),0)</f>
        <v>0</v>
      </c>
      <c r="O584" s="175">
        <f t="shared" ca="1" si="124"/>
        <v>0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IFERROR(__xludf.DUMMYFUNCTION("IMPORTRANGE(""https://docs.google.com/spreadsheets/d/1IYY_tgx_IHuhSq3AJ5eI5OnqOPBNLWSHKh2a30DoXe8/edit?usp=sharing"",""ชุมพร!M480"")"),0)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IFERROR(__xludf.DUMMYFUNCTION("IMPORTRANGE(""https://docs.google.com/spreadsheets/d/1IYY_tgx_IHuhSq3AJ5eI5OnqOPBNLWSHKh2a30DoXe8/edit?usp=sharing"",""ชุมพร!M481"")"),0)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IFERROR(__xludf.DUMMYFUNCTION("IMPORTRANGE(""https://docs.google.com/spreadsheets/d/1IYY_tgx_IHuhSq3AJ5eI5OnqOPBNLWSHKh2a30DoXe8/edit?usp=sharing"",""ชุมพร!M482"")"),0)</f>
        <v>0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IFERROR(__xludf.DUMMYFUNCTION("IMPORTRANGE(""https://docs.google.com/spreadsheets/d/1IYY_tgx_IHuhSq3AJ5eI5OnqOPBNLWSHKh2a30DoXe8/edit?usp=sharing"",""ชุมพร!M483"")"),0)</f>
        <v>0</v>
      </c>
      <c r="O588" s="175"/>
      <c r="P588" s="175"/>
    </row>
    <row r="589" spans="1:16" ht="21.75" customHeight="1" x14ac:dyDescent="0.2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IFERROR(__xludf.DUMMYFUNCTION("IMPORTRANGE(""https://docs.google.com/spreadsheets/d/1IYY_tgx_IHuhSq3AJ5eI5OnqOPBNLWSHKh2a30DoXe8/edit?usp=sharing"",""ชุมพร!I484"")"),0)</f>
        <v>0</v>
      </c>
      <c r="J589" s="194">
        <f ca="1">IFERROR(__xludf.DUMMYFUNCTION("IMPORTRANGE(""https://docs.google.com/spreadsheets/d/1IYY_tgx_IHuhSq3AJ5eI5OnqOPBNLWSHKh2a30DoXe8/edit?usp=sharing"",""ชุมพร!J484"")"),2)</f>
        <v>2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2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IFERROR(__xludf.DUMMYFUNCTION("IMPORTRANGE(""https://docs.google.com/spreadsheets/d/1IYY_tgx_IHuhSq3AJ5eI5OnqOPBNLWSHKh2a30DoXe8/edit?usp=sharing"",""ชุมพร!I485"")"),0)</f>
        <v>0</v>
      </c>
      <c r="J590" s="194">
        <f ca="1">IFERROR(__xludf.DUMMYFUNCTION("IMPORTRANGE(""https://docs.google.com/spreadsheets/d/1IYY_tgx_IHuhSq3AJ5eI5OnqOPBNLWSHKh2a30DoXe8/edit?usp=sharing"",""ชุมพร!J485"")"),0.88)</f>
        <v>0.88</v>
      </c>
      <c r="K590" s="486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IFERROR(__xludf.DUMMYFUNCTION("IMPORTRANGE(""https://docs.google.com/spreadsheets/d/1IYY_tgx_IHuhSq3AJ5eI5OnqOPBNLWSHKh2a30DoXe8/edit?usp=sharing"",""ชุมพร!I486"")"),0)</f>
        <v>0</v>
      </c>
      <c r="J591" s="194">
        <f ca="1">IFERROR(__xludf.DUMMYFUNCTION("IMPORTRANGE(""https://docs.google.com/spreadsheets/d/1IYY_tgx_IHuhSq3AJ5eI5OnqOPBNLWSHKh2a30DoXe8/edit?usp=sharing"",""ชุมพร!J486"")"),0)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2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IFERROR(__xludf.DUMMYFUNCTION("IMPORTRANGE(""https://docs.google.com/spreadsheets/d/1IYY_tgx_IHuhSq3AJ5eI5OnqOPBNLWSHKh2a30DoXe8/edit?usp=sharing"",""ชุมพร!I487"")"),0)</f>
        <v>0</v>
      </c>
      <c r="J592" s="194">
        <f ca="1">IFERROR(__xludf.DUMMYFUNCTION("IMPORTRANGE(""https://docs.google.com/spreadsheets/d/1IYY_tgx_IHuhSq3AJ5eI5OnqOPBNLWSHKh2a30DoXe8/edit?usp=sharing"",""ชุมพร!J487"")"),0)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IFERROR(__xludf.DUMMYFUNCTION("IMPORTRANGE(""https://docs.google.com/spreadsheets/d/1IYY_tgx_IHuhSq3AJ5eI5OnqOPBNLWSHKh2a30DoXe8/edit?usp=sharing"",""ชุมพร!I488"")"),0)</f>
        <v>0</v>
      </c>
      <c r="J593" s="194">
        <f ca="1">IFERROR(__xludf.DUMMYFUNCTION("IMPORTRANGE(""https://docs.google.com/spreadsheets/d/1IYY_tgx_IHuhSq3AJ5eI5OnqOPBNLWSHKh2a30DoXe8/edit?usp=sharing"",""ชุมพร!J488"")"),0)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2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IFERROR(__xludf.DUMMYFUNCTION("IMPORTRANGE(""https://docs.google.com/spreadsheets/d/1IYY_tgx_IHuhSq3AJ5eI5OnqOPBNLWSHKh2a30DoXe8/edit?usp=sharing"",""ชุมพร!I489"")"),0)</f>
        <v>0</v>
      </c>
      <c r="J594" s="194">
        <f ca="1">IFERROR(__xludf.DUMMYFUNCTION("IMPORTRANGE(""https://docs.google.com/spreadsheets/d/1IYY_tgx_IHuhSq3AJ5eI5OnqOPBNLWSHKh2a30DoXe8/edit?usp=sharing"",""ชุมพร!J489"")"),0)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IFERROR(__xludf.DUMMYFUNCTION("IMPORTRANGE(""https://docs.google.com/spreadsheets/d/1IYY_tgx_IHuhSq3AJ5eI5OnqOPBNLWSHKh2a30DoXe8/edit?usp=sharing"",""ชุมพร!I490"")"),0)</f>
        <v>0</v>
      </c>
      <c r="J595" s="194">
        <f ca="1">IFERROR(__xludf.DUMMYFUNCTION("IMPORTRANGE(""https://docs.google.com/spreadsheets/d/1IYY_tgx_IHuhSq3AJ5eI5OnqOPBNLWSHKh2a30DoXe8/edit?usp=sharing"",""ชุมพร!J490"")"),0)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2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IFERROR(__xludf.DUMMYFUNCTION("IMPORTRANGE(""https://docs.google.com/spreadsheets/d/1IYY_tgx_IHuhSq3AJ5eI5OnqOPBNLWSHKh2a30DoXe8/edit?usp=sharing"",""ชุมพร!I491"")"),0)</f>
        <v>0</v>
      </c>
      <c r="J596" s="247">
        <f ca="1">IFERROR(__xludf.DUMMYFUNCTION("IMPORTRANGE(""https://docs.google.com/spreadsheets/d/1IYY_tgx_IHuhSq3AJ5eI5OnqOPBNLWSHKh2a30DoXe8/edit?usp=sharing"",""ชุมพร!J491"")"),0)</f>
        <v>0</v>
      </c>
      <c r="K596" s="493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IFERROR(__xludf.DUMMYFUNCTION("IMPORTRANGE(""https://docs.google.com/spreadsheets/d/1IYY_tgx_IHuhSq3AJ5eI5OnqOPBNLWSHKh2a30DoXe8/edit?usp=sharing"",""ชุมพร!I492"")"),100)</f>
        <v>100</v>
      </c>
      <c r="J597" s="494">
        <f ca="1">IFERROR(__xludf.DUMMYFUNCTION("IMPORTRANGE(""https://docs.google.com/spreadsheets/d/1IYY_tgx_IHuhSq3AJ5eI5OnqOPBNLWSHKh2a30DoXe8/edit?usp=sharing"",""ชุมพร!J492"")"),0)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IFERROR(__xludf.DUMMYFUNCTION("IMPORTRANGE(""https://docs.google.com/spreadsheets/d/1IYY_tgx_IHuhSq3AJ5eI5OnqOPBNLWSHKh2a30DoXe8/edit?usp=sharing"",""ชุมพร!L492"")"),7400)</f>
        <v>7400</v>
      </c>
      <c r="M597" s="418"/>
      <c r="N597" s="418">
        <f ca="1">IFERROR(__xludf.DUMMYFUNCTION("IMPORTRANGE(""https://docs.google.com/spreadsheets/d/1IYY_tgx_IHuhSq3AJ5eI5OnqOPBNLWSHKh2a30DoXe8/edit?usp=sharing"",""ชุมพร!M492"")"),3200)</f>
        <v>3200</v>
      </c>
      <c r="O597" s="418">
        <f t="shared" ref="O597:O601" ca="1" si="126">+IF(L597&gt;0,N597*100/L597,0)</f>
        <v>43.243243243243242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IFERROR(__xludf.DUMMYFUNCTION("IMPORTRANGE(""https://docs.google.com/spreadsheets/d/1IYY_tgx_IHuhSq3AJ5eI5OnqOPBNLWSHKh2a30DoXe8/edit?usp=sharing"",""ชุมพร!L493"")"),0)</f>
        <v>0</v>
      </c>
      <c r="M598" s="168"/>
      <c r="N598" s="175">
        <f ca="1">IFERROR(__xludf.DUMMYFUNCTION("IMPORTRANGE(""https://docs.google.com/spreadsheets/d/1IYY_tgx_IHuhSq3AJ5eI5OnqOPBNLWSHKh2a30DoXe8/edit?usp=sharing"",""ชุมพร!M493"")"),0)</f>
        <v>0</v>
      </c>
      <c r="O598" s="175">
        <f t="shared" ca="1" si="126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IFERROR(__xludf.DUMMYFUNCTION("IMPORTRANGE(""https://docs.google.com/spreadsheets/d/1IYY_tgx_IHuhSq3AJ5eI5OnqOPBNLWSHKh2a30DoXe8/edit?usp=sharing"",""ชุมพร!L494"")"),7400)</f>
        <v>7400</v>
      </c>
      <c r="M599" s="169"/>
      <c r="N599" s="175">
        <f ca="1">IFERROR(__xludf.DUMMYFUNCTION("IMPORTRANGE(""https://docs.google.com/spreadsheets/d/1IYY_tgx_IHuhSq3AJ5eI5OnqOPBNLWSHKh2a30DoXe8/edit?usp=sharing"",""ชุมพร!M494"")"),3200)</f>
        <v>3200</v>
      </c>
      <c r="O599" s="175">
        <f t="shared" ca="1" si="126"/>
        <v>43.243243243243242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IFERROR(__xludf.DUMMYFUNCTION("IMPORTRANGE(""https://docs.google.com/spreadsheets/d/1IYY_tgx_IHuhSq3AJ5eI5OnqOPBNLWSHKh2a30DoXe8/edit?usp=sharing"",""ชุมพร!L495"")"),0)</f>
        <v>0</v>
      </c>
      <c r="M600" s="175"/>
      <c r="N600" s="175">
        <f ca="1">IFERROR(__xludf.DUMMYFUNCTION("IMPORTRANGE(""https://docs.google.com/spreadsheets/d/1IYY_tgx_IHuhSq3AJ5eI5OnqOPBNLWSHKh2a30DoXe8/edit?usp=sharing"",""ชุมพร!M495"")"),0)</f>
        <v>0</v>
      </c>
      <c r="O600" s="175">
        <f t="shared" ca="1" si="126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IFERROR(__xludf.DUMMYFUNCTION("IMPORTRANGE(""https://docs.google.com/spreadsheets/d/1IYY_tgx_IHuhSq3AJ5eI5OnqOPBNLWSHKh2a30DoXe8/edit?usp=sharing"",""ชุมพร!L496"")"),7400)</f>
        <v>7400</v>
      </c>
      <c r="M601" s="175"/>
      <c r="N601" s="175">
        <f ca="1">IFERROR(__xludf.DUMMYFUNCTION("IMPORTRANGE(""https://docs.google.com/spreadsheets/d/1IYY_tgx_IHuhSq3AJ5eI5OnqOPBNLWSHKh2a30DoXe8/edit?usp=sharing"",""ชุมพร!M496"")"),3200)</f>
        <v>3200</v>
      </c>
      <c r="O601" s="175">
        <f t="shared" ca="1" si="126"/>
        <v>43.243243243243242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IFERROR(__xludf.DUMMYFUNCTION("IMPORTRANGE(""https://docs.google.com/spreadsheets/d/1IYY_tgx_IHuhSq3AJ5eI5OnqOPBNLWSHKh2a30DoXe8/edit?usp=sharing"",""ชุมพร!M497"")"),0)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IFERROR(__xludf.DUMMYFUNCTION("IMPORTRANGE(""https://docs.google.com/spreadsheets/d/1IYY_tgx_IHuhSq3AJ5eI5OnqOPBNLWSHKh2a30DoXe8/edit?usp=sharing"",""ชุมพร!M498"")"),0)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IFERROR(__xludf.DUMMYFUNCTION("IMPORTRANGE(""https://docs.google.com/spreadsheets/d/1IYY_tgx_IHuhSq3AJ5eI5OnqOPBNLWSHKh2a30DoXe8/edit?usp=sharing"",""ชุมพร!M499"")"),0)</f>
        <v>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IFERROR(__xludf.DUMMYFUNCTION("IMPORTRANGE(""https://docs.google.com/spreadsheets/d/1IYY_tgx_IHuhSq3AJ5eI5OnqOPBNLWSHKh2a30DoXe8/edit?usp=sharing"",""ชุมพร!M500"")"),3200)</f>
        <v>3200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IFERROR(__xludf.DUMMYFUNCTION("IMPORTRANGE(""https://docs.google.com/spreadsheets/d/1IYY_tgx_IHuhSq3AJ5eI5OnqOPBNLWSHKh2a30DoXe8/edit?usp=sharing"",""ชุมพร!J502"")"),0)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IFERROR(__xludf.DUMMYFUNCTION("IMPORTRANGE(""https://docs.google.com/spreadsheets/d/1IYY_tgx_IHuhSq3AJ5eI5OnqOPBNLWSHKh2a30DoXe8/edit?usp=sharing"",""ชุมพร!J503"")"),1)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IFERROR(__xludf.DUMMYFUNCTION("IMPORTRANGE(""https://docs.google.com/spreadsheets/d/1IYY_tgx_IHuhSq3AJ5eI5OnqOPBNLWSHKh2a30DoXe8/edit?usp=sharing"",""ชุมพร!J166"")"),0)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2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IFERROR(__xludf.DUMMYFUNCTION("IMPORTRANGE(""https://docs.google.com/spreadsheets/d/1IYY_tgx_IHuhSq3AJ5eI5OnqOPBNLWSHKh2a30DoXe8/edit?usp=sharing"",""ชุมพร!J166"")"),0)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IFERROR(__xludf.DUMMYFUNCTION("IMPORTRANGE(""https://docs.google.com/spreadsheets/d/1IYY_tgx_IHuhSq3AJ5eI5OnqOPBNLWSHKh2a30DoXe8/edit?usp=sharing"",""ชุมพร!I506"")"),100)</f>
        <v>100</v>
      </c>
      <c r="J611" s="166">
        <f ca="1">IFERROR(__xludf.DUMMYFUNCTION("IMPORTRANGE(""https://docs.google.com/spreadsheets/d/1IYY_tgx_IHuhSq3AJ5eI5OnqOPBNLWSHKh2a30DoXe8/edit?usp=sharing"",""ชุมพร!J506"")"),0)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IFERROR(__xludf.DUMMYFUNCTION("IMPORTRANGE(""https://docs.google.com/spreadsheets/d/1IYY_tgx_IHuhSq3AJ5eI5OnqOPBNLWSHKh2a30DoXe8/edit?usp=sharing"",""ชุมพร!I507"")"),0)</f>
        <v>0</v>
      </c>
      <c r="J612" s="204">
        <f ca="1">IFERROR(__xludf.DUMMYFUNCTION("IMPORTRANGE(""https://docs.google.com/spreadsheets/d/1IYY_tgx_IHuhSq3AJ5eI5OnqOPBNLWSHKh2a30DoXe8/edit?usp=sharing"",""ชุมพร!J507"")"),0)</f>
        <v>0</v>
      </c>
      <c r="K612" s="167">
        <f t="shared" ca="1" si="127"/>
        <v>0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IFERROR(__xludf.DUMMYFUNCTION("IMPORTRANGE(""https://docs.google.com/spreadsheets/d/1IYY_tgx_IHuhSq3AJ5eI5OnqOPBNLWSHKh2a30DoXe8/edit?usp=sharing"",""ชุมพร!I508"")"),0)</f>
        <v>0</v>
      </c>
      <c r="J613" s="204">
        <f ca="1">IFERROR(__xludf.DUMMYFUNCTION("IMPORTRANGE(""https://docs.google.com/spreadsheets/d/1IYY_tgx_IHuhSq3AJ5eI5OnqOPBNLWSHKh2a30DoXe8/edit?usp=sharing"",""ชุมพร!J508"")"),0)</f>
        <v>0</v>
      </c>
      <c r="K613" s="167">
        <f t="shared" ca="1" si="127"/>
        <v>0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IFERROR(__xludf.DUMMYFUNCTION("IMPORTRANGE(""https://docs.google.com/spreadsheets/d/1IYY_tgx_IHuhSq3AJ5eI5OnqOPBNLWSHKh2a30DoXe8/edit?usp=sharing"",""ชุมพร!I509"")"),0)</f>
        <v>0</v>
      </c>
      <c r="J614" s="204">
        <f ca="1">IFERROR(__xludf.DUMMYFUNCTION("IMPORTRANGE(""https://docs.google.com/spreadsheets/d/1IYY_tgx_IHuhSq3AJ5eI5OnqOPBNLWSHKh2a30DoXe8/edit?usp=sharing"",""ชุมพร!J509"")"),0)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IFERROR(__xludf.DUMMYFUNCTION("IMPORTRANGE(""https://docs.google.com/spreadsheets/d/1IYY_tgx_IHuhSq3AJ5eI5OnqOPBNLWSHKh2a30DoXe8/edit?usp=sharing"",""ชุมพร!I510"")"),0)</f>
        <v>0</v>
      </c>
      <c r="J615" s="204">
        <f ca="1">IFERROR(__xludf.DUMMYFUNCTION("IMPORTRANGE(""https://docs.google.com/spreadsheets/d/1IYY_tgx_IHuhSq3AJ5eI5OnqOPBNLWSHKh2a30DoXe8/edit?usp=sharing"",""ชุมพร!J510"")"),0)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IFERROR(__xludf.DUMMYFUNCTION("IMPORTRANGE(""https://docs.google.com/spreadsheets/d/1IYY_tgx_IHuhSq3AJ5eI5OnqOPBNLWSHKh2a30DoXe8/edit?usp=sharing"",""ชุมพร!I511"")"),0)</f>
        <v>0</v>
      </c>
      <c r="J616" s="204">
        <f ca="1">IFERROR(__xludf.DUMMYFUNCTION("IMPORTRANGE(""https://docs.google.com/spreadsheets/d/1IYY_tgx_IHuhSq3AJ5eI5OnqOPBNLWSHKh2a30DoXe8/edit?usp=sharing"",""ชุมพร!J511"")"),0)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IFERROR(__xludf.DUMMYFUNCTION("IMPORTRANGE(""https://docs.google.com/spreadsheets/d/1IYY_tgx_IHuhSq3AJ5eI5OnqOPBNLWSHKh2a30DoXe8/edit?usp=sharing"",""ชุมพร!I512"")"),0)</f>
        <v>0</v>
      </c>
      <c r="J617" s="194">
        <f ca="1">IFERROR(__xludf.DUMMYFUNCTION("IMPORTRANGE(""https://docs.google.com/spreadsheets/d/1IYY_tgx_IHuhSq3AJ5eI5OnqOPBNLWSHKh2a30DoXe8/edit?usp=sharing"",""ชุมพร!J512"")"),0)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IFERROR(__xludf.DUMMYFUNCTION("IMPORTRANGE(""https://docs.google.com/spreadsheets/d/1IYY_tgx_IHuhSq3AJ5eI5OnqOPBNLWSHKh2a30DoXe8/edit?usp=sharing"",""ชุมพร!I513"")"),0)</f>
        <v>0</v>
      </c>
      <c r="J618" s="195">
        <f ca="1">IFERROR(__xludf.DUMMYFUNCTION("IMPORTRANGE(""https://docs.google.com/spreadsheets/d/1IYY_tgx_IHuhSq3AJ5eI5OnqOPBNLWSHKh2a30DoXe8/edit?usp=sharing"",""ชุมพร!J513"")"),0)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IFERROR(__xludf.DUMMYFUNCTION("IMPORTRANGE(""https://docs.google.com/spreadsheets/d/1IYY_tgx_IHuhSq3AJ5eI5OnqOPBNLWSHKh2a30DoXe8/edit?usp=sharing"",""ชุมพร!I514"")"),0)</f>
        <v>0</v>
      </c>
      <c r="J619" s="195">
        <f ca="1">IFERROR(__xludf.DUMMYFUNCTION("IMPORTRANGE(""https://docs.google.com/spreadsheets/d/1IYY_tgx_IHuhSq3AJ5eI5OnqOPBNLWSHKh2a30DoXe8/edit?usp=sharing"",""ชุมพร!J514"")"),0)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IFERROR(__xludf.DUMMYFUNCTION("IMPORTRANGE(""https://docs.google.com/spreadsheets/d/1IYY_tgx_IHuhSq3AJ5eI5OnqOPBNLWSHKh2a30DoXe8/edit?usp=sharing"",""ชุมพร!I515"")"),0)</f>
        <v>0</v>
      </c>
      <c r="J620" s="209">
        <f ca="1">IFERROR(__xludf.DUMMYFUNCTION("IMPORTRANGE(""https://docs.google.com/spreadsheets/d/1IYY_tgx_IHuhSq3AJ5eI5OnqOPBNLWSHKh2a30DoXe8/edit?usp=sharing"",""ชุมพร!J515"")"),0)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IFERROR(__xludf.DUMMYFUNCTION("IMPORTRANGE(""https://docs.google.com/spreadsheets/d/1IYY_tgx_IHuhSq3AJ5eI5OnqOPBNLWSHKh2a30DoXe8/edit?usp=sharing"",""ชุมพร!I516"")"),0)</f>
        <v>0</v>
      </c>
      <c r="J621" s="209">
        <f ca="1">IFERROR(__xludf.DUMMYFUNCTION("IMPORTRANGE(""https://docs.google.com/spreadsheets/d/1IYY_tgx_IHuhSq3AJ5eI5OnqOPBNLWSHKh2a30DoXe8/edit?usp=sharing"",""ชุมพร!J516"")"),0)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IFERROR(__xludf.DUMMYFUNCTION("IMPORTRANGE(""https://docs.google.com/spreadsheets/d/1IYY_tgx_IHuhSq3AJ5eI5OnqOPBNLWSHKh2a30DoXe8/edit?usp=sharing"",""ชุมพร!I517"")"),0)</f>
        <v>0</v>
      </c>
      <c r="J622" s="195">
        <f ca="1">IFERROR(__xludf.DUMMYFUNCTION("IMPORTRANGE(""https://docs.google.com/spreadsheets/d/1IYY_tgx_IHuhSq3AJ5eI5OnqOPBNLWSHKh2a30DoXe8/edit?usp=sharing"",""ชุมพร!J517"")"),0)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IFERROR(__xludf.DUMMYFUNCTION("IMPORTRANGE(""https://docs.google.com/spreadsheets/d/1IYY_tgx_IHuhSq3AJ5eI5OnqOPBNLWSHKh2a30DoXe8/edit?usp=sharing"",""ชุมพร!I518"")"),0)</f>
        <v>0</v>
      </c>
      <c r="J623" s="195">
        <f ca="1">IFERROR(__xludf.DUMMYFUNCTION("IMPORTRANGE(""https://docs.google.com/spreadsheets/d/1IYY_tgx_IHuhSq3AJ5eI5OnqOPBNLWSHKh2a30DoXe8/edit?usp=sharing"",""ชุมพร!J518"")"),0)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IFERROR(__xludf.DUMMYFUNCTION("IMPORTRANGE(""https://docs.google.com/spreadsheets/d/1IYY_tgx_IHuhSq3AJ5eI5OnqOPBNLWSHKh2a30DoXe8/edit?usp=sharing"",""ชุมพร!I519"")"),0)</f>
        <v>0</v>
      </c>
      <c r="J624" s="194">
        <f ca="1">IFERROR(__xludf.DUMMYFUNCTION("IMPORTRANGE(""https://docs.google.com/spreadsheets/d/1IYY_tgx_IHuhSq3AJ5eI5OnqOPBNLWSHKh2a30DoXe8/edit?usp=sharing"",""ชุมพร!J519"")"),0)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IFERROR(__xludf.DUMMYFUNCTION("IMPORTRANGE(""https://docs.google.com/spreadsheets/d/1IYY_tgx_IHuhSq3AJ5eI5OnqOPBNLWSHKh2a30DoXe8/edit?usp=sharing"",""ชุมพร!I520"")"),0)</f>
        <v>0</v>
      </c>
      <c r="J625" s="195">
        <f ca="1">IFERROR(__xludf.DUMMYFUNCTION("IMPORTRANGE(""https://docs.google.com/spreadsheets/d/1IYY_tgx_IHuhSq3AJ5eI5OnqOPBNLWSHKh2a30DoXe8/edit?usp=sharing"",""ชุมพร!J520"")"),0)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IFERROR(__xludf.DUMMYFUNCTION("IMPORTRANGE(""https://docs.google.com/spreadsheets/d/1IYY_tgx_IHuhSq3AJ5eI5OnqOPBNLWSHKh2a30DoXe8/edit?usp=sharing"",""ชุมพร!I521"")"),0)</f>
        <v>0</v>
      </c>
      <c r="J626" s="195">
        <f ca="1">IFERROR(__xludf.DUMMYFUNCTION("IMPORTRANGE(""https://docs.google.com/spreadsheets/d/1IYY_tgx_IHuhSq3AJ5eI5OnqOPBNLWSHKh2a30DoXe8/edit?usp=sharing"",""ชุมพร!J521"")"),0)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2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2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IFERROR(__xludf.DUMMYFUNCTION("IMPORTRANGE(""https://docs.google.com/spreadsheets/d/1IYY_tgx_IHuhSq3AJ5eI5OnqOPBNLWSHKh2a30DoXe8/edit?usp=sharing"",""ชุมพร!I523"")"),996730.61)</f>
        <v>996730.61</v>
      </c>
      <c r="J628" s="347">
        <f ca="1">IFERROR(__xludf.DUMMYFUNCTION("IMPORTRANGE(""https://docs.google.com/spreadsheets/d/1IYY_tgx_IHuhSq3AJ5eI5OnqOPBNLWSHKh2a30DoXe8/edit?usp=sharing"",""ชุมพร!J523"")"),997656.63)</f>
        <v>997656.63</v>
      </c>
      <c r="K628" s="348">
        <f t="shared" ref="K628:K635" ca="1" si="129">IF(I628&gt;0,J628*100/I628,0)</f>
        <v>100.09290574511402</v>
      </c>
      <c r="L628" s="348"/>
      <c r="M628" s="348"/>
      <c r="N628" s="348"/>
      <c r="O628" s="175"/>
      <c r="P628" s="175"/>
    </row>
    <row r="629" spans="1:16" ht="21.75" customHeight="1" x14ac:dyDescent="0.2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IFERROR(__xludf.DUMMYFUNCTION("IMPORTRANGE(""https://docs.google.com/spreadsheets/d/1IYY_tgx_IHuhSq3AJ5eI5OnqOPBNLWSHKh2a30DoXe8/edit?usp=sharing"",""ชุมพร!I524"")"),100)</f>
        <v>100</v>
      </c>
      <c r="J629" s="347">
        <f ca="1">IFERROR(__xludf.DUMMYFUNCTION("IMPORTRANGE(""https://docs.google.com/spreadsheets/d/1IYY_tgx_IHuhSq3AJ5eI5OnqOPBNLWSHKh2a30DoXe8/edit?usp=sharing"",""ชุมพร!J524"")"),98)</f>
        <v>98</v>
      </c>
      <c r="K629" s="348">
        <f t="shared" ca="1" si="129"/>
        <v>98</v>
      </c>
      <c r="L629" s="348"/>
      <c r="M629" s="348"/>
      <c r="N629" s="348"/>
      <c r="O629" s="175"/>
      <c r="P629" s="175"/>
    </row>
    <row r="630" spans="1:16" ht="21.75" customHeight="1" x14ac:dyDescent="0.2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IFERROR(__xludf.DUMMYFUNCTION("IMPORTRANGE(""https://docs.google.com/spreadsheets/d/1IYY_tgx_IHuhSq3AJ5eI5OnqOPBNLWSHKh2a30DoXe8/edit?usp=sharing"",""ชุมพร!I525"")"),670056.96)</f>
        <v>670056.95999999996</v>
      </c>
      <c r="J630" s="347">
        <f ca="1">IFERROR(__xludf.DUMMYFUNCTION("IMPORTRANGE(""https://docs.google.com/spreadsheets/d/1IYY_tgx_IHuhSq3AJ5eI5OnqOPBNLWSHKh2a30DoXe8/edit?usp=sharing"",""ชุมพร!J525"")"),645961.15)</f>
        <v>645961.15</v>
      </c>
      <c r="K630" s="348">
        <f t="shared" ca="1" si="129"/>
        <v>96.403916168559761</v>
      </c>
      <c r="L630" s="348"/>
      <c r="M630" s="348"/>
      <c r="N630" s="348"/>
      <c r="O630" s="175"/>
      <c r="P630" s="175"/>
    </row>
    <row r="631" spans="1:16" ht="21.75" customHeight="1" x14ac:dyDescent="0.2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IFERROR(__xludf.DUMMYFUNCTION("IMPORTRANGE(""https://docs.google.com/spreadsheets/d/1IYY_tgx_IHuhSq3AJ5eI5OnqOPBNLWSHKh2a30DoXe8/edit?usp=sharing"",""ชุมพร!I526"")"),27)</f>
        <v>27</v>
      </c>
      <c r="J631" s="347">
        <f ca="1">IFERROR(__xludf.DUMMYFUNCTION("IMPORTRANGE(""https://docs.google.com/spreadsheets/d/1IYY_tgx_IHuhSq3AJ5eI5OnqOPBNLWSHKh2a30DoXe8/edit?usp=sharing"",""ชุมพร!J526"")"),38)</f>
        <v>38</v>
      </c>
      <c r="K631" s="348">
        <f t="shared" ca="1" si="129"/>
        <v>140.74074074074073</v>
      </c>
      <c r="L631" s="348"/>
      <c r="M631" s="348"/>
      <c r="N631" s="348"/>
      <c r="O631" s="175"/>
      <c r="P631" s="175"/>
    </row>
    <row r="632" spans="1:16" ht="21.75" customHeight="1" x14ac:dyDescent="0.2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IFERROR(__xludf.DUMMYFUNCTION("IMPORTRANGE(""https://docs.google.com/spreadsheets/d/1IYY_tgx_IHuhSq3AJ5eI5OnqOPBNLWSHKh2a30DoXe8/edit?usp=sharing"",""ชุมพร!I527"")"),0)</f>
        <v>0</v>
      </c>
      <c r="J632" s="347">
        <f ca="1">IFERROR(__xludf.DUMMYFUNCTION("IMPORTRANGE(""https://docs.google.com/spreadsheets/d/1IYY_tgx_IHuhSq3AJ5eI5OnqOPBNLWSHKh2a30DoXe8/edit?usp=sharing"",""ชุมพร!J527"")"),0)</f>
        <v>0</v>
      </c>
      <c r="K632" s="348">
        <f t="shared" ca="1" si="129"/>
        <v>0</v>
      </c>
      <c r="L632" s="348"/>
      <c r="M632" s="348"/>
      <c r="N632" s="348"/>
      <c r="O632" s="175"/>
      <c r="P632" s="175"/>
    </row>
    <row r="633" spans="1:16" ht="21.75" customHeight="1" x14ac:dyDescent="0.2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IFERROR(__xludf.DUMMYFUNCTION("IMPORTRANGE(""https://docs.google.com/spreadsheets/d/1IYY_tgx_IHuhSq3AJ5eI5OnqOPBNLWSHKh2a30DoXe8/edit?usp=sharing"",""ชุมพร!I528"")"),0)</f>
        <v>0</v>
      </c>
      <c r="J633" s="347">
        <f ca="1">IFERROR(__xludf.DUMMYFUNCTION("IMPORTRANGE(""https://docs.google.com/spreadsheets/d/1IYY_tgx_IHuhSq3AJ5eI5OnqOPBNLWSHKh2a30DoXe8/edit?usp=sharing"",""ชุมพร!J528"")"),0)</f>
        <v>0</v>
      </c>
      <c r="K633" s="348">
        <f t="shared" ca="1" si="129"/>
        <v>0</v>
      </c>
      <c r="L633" s="348"/>
      <c r="M633" s="348"/>
      <c r="N633" s="348"/>
      <c r="O633" s="175"/>
      <c r="P633" s="175"/>
    </row>
    <row r="634" spans="1:16" ht="21.75" customHeight="1" x14ac:dyDescent="0.2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IFERROR(__xludf.DUMMYFUNCTION("IMPORTRANGE(""https://docs.google.com/spreadsheets/d/1IYY_tgx_IHuhSq3AJ5eI5OnqOPBNLWSHKh2a30DoXe8/edit?usp=sharing"",""ชุมพร!I529"")"),1350000)</f>
        <v>1350000</v>
      </c>
      <c r="J634" s="347">
        <f ca="1">IFERROR(__xludf.DUMMYFUNCTION("IMPORTRANGE(""https://docs.google.com/spreadsheets/d/1IYY_tgx_IHuhSq3AJ5eI5OnqOPBNLWSHKh2a30DoXe8/edit?usp=sharing"",""ชุมพร!J529"")"),1350000)</f>
        <v>1350000</v>
      </c>
      <c r="K634" s="348">
        <f t="shared" ca="1" si="129"/>
        <v>100</v>
      </c>
      <c r="L634" s="348"/>
      <c r="M634" s="348"/>
      <c r="N634" s="348"/>
      <c r="O634" s="175"/>
      <c r="P634" s="175"/>
    </row>
    <row r="635" spans="1:16" ht="21.75" customHeight="1" x14ac:dyDescent="0.25">
      <c r="A635" s="487"/>
      <c r="B635" s="489"/>
      <c r="C635" s="489"/>
      <c r="D635" s="488"/>
      <c r="E635" s="515"/>
      <c r="F635" s="515"/>
      <c r="G635" s="516"/>
      <c r="H635" s="517" t="s">
        <v>37</v>
      </c>
      <c r="I635" s="518">
        <f ca="1">IFERROR(__xludf.DUMMYFUNCTION("IMPORTRANGE(""https://docs.google.com/spreadsheets/d/1IYY_tgx_IHuhSq3AJ5eI5OnqOPBNLWSHKh2a30DoXe8/edit?usp=sharing"",""ชุมพร!I530"")"),15)</f>
        <v>15</v>
      </c>
      <c r="J635" s="518">
        <f ca="1">IFERROR(__xludf.DUMMYFUNCTION("IMPORTRANGE(""https://docs.google.com/spreadsheets/d/1IYY_tgx_IHuhSq3AJ5eI5OnqOPBNLWSHKh2a30DoXe8/edit?usp=sharing"",""ชุมพร!J530"")"),45)</f>
        <v>45</v>
      </c>
      <c r="K635" s="493">
        <f t="shared" ca="1" si="129"/>
        <v>300</v>
      </c>
      <c r="L635" s="493"/>
      <c r="M635" s="493"/>
      <c r="N635" s="493"/>
      <c r="O635" s="519"/>
      <c r="P635" s="519"/>
    </row>
    <row r="636" spans="1:16" ht="21.75" customHeight="1" x14ac:dyDescent="0.3">
      <c r="A636" s="520"/>
      <c r="B636" s="599" t="s">
        <v>237</v>
      </c>
      <c r="C636" s="600"/>
      <c r="D636" s="600"/>
      <c r="E636" s="600"/>
      <c r="F636" s="600"/>
      <c r="G636" s="600"/>
      <c r="H636" s="521"/>
      <c r="I636" s="521"/>
      <c r="J636" s="521"/>
      <c r="K636" s="522"/>
      <c r="L636" s="523">
        <f ca="1">SUM(L637,L638)</f>
        <v>0</v>
      </c>
      <c r="M636" s="524"/>
      <c r="N636" s="523">
        <f ca="1">SUM(N637:N638)</f>
        <v>0</v>
      </c>
      <c r="O636" s="523">
        <f t="shared" ref="O636:O640" ca="1" si="130">+IF(L636&gt;0,N636*100/L636,0)</f>
        <v>0</v>
      </c>
      <c r="P636" s="523"/>
    </row>
    <row r="637" spans="1:16" ht="21.75" customHeight="1" x14ac:dyDescent="0.3">
      <c r="A637" s="525"/>
      <c r="B637" s="526"/>
      <c r="C637" s="527" t="s">
        <v>16</v>
      </c>
      <c r="D637" s="601" t="s">
        <v>77</v>
      </c>
      <c r="E637" s="575"/>
      <c r="F637" s="575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130"/>
        <v>0</v>
      </c>
      <c r="P637" s="535"/>
    </row>
    <row r="638" spans="1:16" ht="21.75" customHeight="1" x14ac:dyDescent="0.3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0</v>
      </c>
      <c r="M638" s="534"/>
      <c r="N638" s="535">
        <f ca="1">SUM(N639:N640)</f>
        <v>0</v>
      </c>
      <c r="O638" s="535">
        <f t="shared" ca="1" si="130"/>
        <v>0</v>
      </c>
      <c r="P638" s="535"/>
    </row>
    <row r="639" spans="1:16" ht="21.75" customHeight="1" x14ac:dyDescent="0.3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130"/>
        <v>0</v>
      </c>
      <c r="P639" s="535"/>
    </row>
    <row r="640" spans="1:16" ht="21.75" customHeight="1" x14ac:dyDescent="0.3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0</v>
      </c>
      <c r="M640" s="534"/>
      <c r="N640" s="535">
        <f ca="1">SUM(N641:N644)</f>
        <v>0</v>
      </c>
      <c r="O640" s="535">
        <f t="shared" ca="1" si="130"/>
        <v>0</v>
      </c>
      <c r="P640" s="535"/>
    </row>
    <row r="641" spans="1:16" ht="21.75" customHeight="1" x14ac:dyDescent="0.3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3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3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3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0</v>
      </c>
      <c r="O644" s="537"/>
      <c r="P644" s="537"/>
    </row>
    <row r="645" spans="1:16" ht="21.75" customHeight="1" x14ac:dyDescent="0.3">
      <c r="A645" s="539"/>
      <c r="B645" s="540"/>
      <c r="C645" s="527" t="s">
        <v>16</v>
      </c>
      <c r="D645" s="602" t="s">
        <v>242</v>
      </c>
      <c r="E645" s="575"/>
      <c r="F645" s="575"/>
      <c r="G645" s="575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3">
      <c r="A646" s="539"/>
      <c r="B646" s="540"/>
      <c r="C646" s="540"/>
      <c r="D646" s="541">
        <v>1</v>
      </c>
      <c r="E646" s="603" t="s">
        <v>44</v>
      </c>
      <c r="F646" s="575"/>
      <c r="G646" s="575"/>
      <c r="H646" s="536"/>
      <c r="I646" s="542"/>
      <c r="J646" s="543">
        <f ca="1">IFERROR(__xludf.DUMMYFUNCTION("IMPORTRANGE(""https://docs.google.com/spreadsheets/d/1IYY_tgx_IHuhSq3AJ5eI5OnqOPBNLWSHKh2a30DoXe8/edit?usp=sharing"",""ชุมพร!J541"")"),0)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3">
      <c r="A647" s="539"/>
      <c r="B647" s="540"/>
      <c r="C647" s="540"/>
      <c r="D647" s="545">
        <v>2</v>
      </c>
      <c r="E647" s="604" t="s">
        <v>243</v>
      </c>
      <c r="F647" s="575"/>
      <c r="G647" s="575"/>
      <c r="H647" s="536"/>
      <c r="I647" s="542"/>
      <c r="J647" s="543">
        <f ca="1">IFERROR(__xludf.DUMMYFUNCTION("IMPORTRANGE(""https://docs.google.com/spreadsheets/d/1IYY_tgx_IHuhSq3AJ5eI5OnqOPBNLWSHKh2a30DoXe8/edit?usp=sharing"",""ชุมพร!J542"")"),0)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3">
      <c r="A648" s="525"/>
      <c r="B648" s="526"/>
      <c r="C648" s="526"/>
      <c r="D648" s="526"/>
      <c r="E648" s="526"/>
      <c r="F648" s="598" t="s">
        <v>244</v>
      </c>
      <c r="G648" s="575"/>
      <c r="H648" s="529" t="s">
        <v>122</v>
      </c>
      <c r="I648" s="546">
        <f ca="1">IFERROR(__xludf.DUMMYFUNCTION("IMPORTRANGE(""https://docs.google.com/spreadsheets/d/1IYY_tgx_IHuhSq3AJ5eI5OnqOPBNLWSHKh2a30DoXe8/edit?usp=sharing"",""ชุมพร!I543"")"),0)</f>
        <v>0</v>
      </c>
      <c r="J648" s="547">
        <f ca="1">IFERROR(__xludf.DUMMYFUNCTION("IMPORTRANGE(""https://docs.google.com/spreadsheets/d/1IYY_tgx_IHuhSq3AJ5eI5OnqOPBNLWSHKh2a30DoXe8/edit?usp=sharing"",""ชุมพร!J543"")"),0)</f>
        <v>0</v>
      </c>
      <c r="K648" s="548">
        <f t="shared" ref="K648:K651" ca="1" si="131">IF(I648&gt;0,J648*100/I648,0)</f>
        <v>0</v>
      </c>
      <c r="L648" s="535">
        <f ca="1">IFERROR(__xludf.DUMMYFUNCTION("IMPORTRANGE(""https://docs.google.com/spreadsheets/d/1IYY_tgx_IHuhSq3AJ5eI5OnqOPBNLWSHKh2a30DoXe8/edit?usp=sharing"",""ชุมพร!L543"")"),0)</f>
        <v>0</v>
      </c>
      <c r="M648" s="534"/>
      <c r="N648" s="549">
        <f ca="1">IFERROR(__xludf.DUMMYFUNCTION("IMPORTRANGE(""https://docs.google.com/spreadsheets/d/1IYY_tgx_IHuhSq3AJ5eI5OnqOPBNLWSHKh2a30DoXe8/edit?usp=sharing"",""ชุมพร!M543"")"),0)</f>
        <v>0</v>
      </c>
      <c r="O648" s="548">
        <f t="shared" ref="O648:O651" ca="1" si="132">IF(L648&gt;0,N648*100/L648,0)</f>
        <v>0</v>
      </c>
      <c r="P648" s="548"/>
    </row>
    <row r="649" spans="1:16" ht="21.75" customHeight="1" x14ac:dyDescent="0.3">
      <c r="A649" s="525"/>
      <c r="B649" s="526"/>
      <c r="C649" s="526"/>
      <c r="D649" s="526"/>
      <c r="E649" s="526"/>
      <c r="F649" s="598" t="s">
        <v>245</v>
      </c>
      <c r="G649" s="575"/>
      <c r="H649" s="529" t="s">
        <v>37</v>
      </c>
      <c r="I649" s="546">
        <f ca="1">IFERROR(__xludf.DUMMYFUNCTION("IMPORTRANGE(""https://docs.google.com/spreadsheets/d/1IYY_tgx_IHuhSq3AJ5eI5OnqOPBNLWSHKh2a30DoXe8/edit?usp=sharing"",""ชุมพร!I544"")"),0)</f>
        <v>0</v>
      </c>
      <c r="J649" s="547">
        <f ca="1">IFERROR(__xludf.DUMMYFUNCTION("IMPORTRANGE(""https://docs.google.com/spreadsheets/d/1IYY_tgx_IHuhSq3AJ5eI5OnqOPBNLWSHKh2a30DoXe8/edit?usp=sharing"",""ชุมพร!J544"")"),0)</f>
        <v>0</v>
      </c>
      <c r="K649" s="548">
        <f t="shared" ca="1" si="131"/>
        <v>0</v>
      </c>
      <c r="L649" s="535">
        <f ca="1">IFERROR(__xludf.DUMMYFUNCTION("IMPORTRANGE(""https://docs.google.com/spreadsheets/d/1IYY_tgx_IHuhSq3AJ5eI5OnqOPBNLWSHKh2a30DoXe8/edit?usp=sharing"",""ชุมพร!L544"")"),0)</f>
        <v>0</v>
      </c>
      <c r="M649" s="534"/>
      <c r="N649" s="549">
        <f ca="1">IFERROR(__xludf.DUMMYFUNCTION("IMPORTRANGE(""https://docs.google.com/spreadsheets/d/1IYY_tgx_IHuhSq3AJ5eI5OnqOPBNLWSHKh2a30DoXe8/edit?usp=sharing"",""ชุมพร!M544"")"),0)</f>
        <v>0</v>
      </c>
      <c r="O649" s="548">
        <f t="shared" ca="1" si="132"/>
        <v>0</v>
      </c>
      <c r="P649" s="548"/>
    </row>
    <row r="650" spans="1:16" ht="21.75" customHeight="1" x14ac:dyDescent="0.3">
      <c r="A650" s="525"/>
      <c r="B650" s="526"/>
      <c r="C650" s="526"/>
      <c r="D650" s="526"/>
      <c r="E650" s="526"/>
      <c r="F650" s="598" t="s">
        <v>246</v>
      </c>
      <c r="G650" s="575"/>
      <c r="H650" s="529" t="s">
        <v>122</v>
      </c>
      <c r="I650" s="546">
        <f ca="1">IFERROR(__xludf.DUMMYFUNCTION("IMPORTRANGE(""https://docs.google.com/spreadsheets/d/1IYY_tgx_IHuhSq3AJ5eI5OnqOPBNLWSHKh2a30DoXe8/edit?usp=sharing"",""ชุมพร!I545"")"),0)</f>
        <v>0</v>
      </c>
      <c r="J650" s="547">
        <f ca="1">IFERROR(__xludf.DUMMYFUNCTION("IMPORTRANGE(""https://docs.google.com/spreadsheets/d/1IYY_tgx_IHuhSq3AJ5eI5OnqOPBNLWSHKh2a30DoXe8/edit?usp=sharing"",""ชุมพร!J545"")"),0)</f>
        <v>0</v>
      </c>
      <c r="K650" s="548">
        <f t="shared" ca="1" si="131"/>
        <v>0</v>
      </c>
      <c r="L650" s="535">
        <f ca="1">IFERROR(__xludf.DUMMYFUNCTION("IMPORTRANGE(""https://docs.google.com/spreadsheets/d/1IYY_tgx_IHuhSq3AJ5eI5OnqOPBNLWSHKh2a30DoXe8/edit?usp=sharing"",""ชุมพร!L545"")"),0)</f>
        <v>0</v>
      </c>
      <c r="M650" s="534"/>
      <c r="N650" s="549">
        <f ca="1">IFERROR(__xludf.DUMMYFUNCTION("IMPORTRANGE(""https://docs.google.com/spreadsheets/d/1IYY_tgx_IHuhSq3AJ5eI5OnqOPBNLWSHKh2a30DoXe8/edit?usp=sharing"",""ชุมพร!M545"")"),0)</f>
        <v>0</v>
      </c>
      <c r="O650" s="548">
        <f t="shared" ca="1" si="132"/>
        <v>0</v>
      </c>
      <c r="P650" s="548"/>
    </row>
    <row r="651" spans="1:16" ht="21.75" customHeight="1" x14ac:dyDescent="0.3">
      <c r="A651" s="525"/>
      <c r="B651" s="526"/>
      <c r="C651" s="526"/>
      <c r="D651" s="526"/>
      <c r="E651" s="526"/>
      <c r="F651" s="598" t="s">
        <v>247</v>
      </c>
      <c r="G651" s="575"/>
      <c r="H651" s="529" t="s">
        <v>122</v>
      </c>
      <c r="I651" s="546">
        <f ca="1">IFERROR(__xludf.DUMMYFUNCTION("IMPORTRANGE(""https://docs.google.com/spreadsheets/d/1IYY_tgx_IHuhSq3AJ5eI5OnqOPBNLWSHKh2a30DoXe8/edit?usp=sharing"",""ชุมพร!I546"")"),0)</f>
        <v>0</v>
      </c>
      <c r="J651" s="547">
        <f ca="1">J657+J660</f>
        <v>0</v>
      </c>
      <c r="K651" s="548">
        <f t="shared" ca="1" si="131"/>
        <v>0</v>
      </c>
      <c r="L651" s="535">
        <f ca="1">IFERROR(__xludf.DUMMYFUNCTION("IMPORTRANGE(""https://docs.google.com/spreadsheets/d/1IYY_tgx_IHuhSq3AJ5eI5OnqOPBNLWSHKh2a30DoXe8/edit?usp=sharing"",""ชุมพร!L546"")"),0)</f>
        <v>0</v>
      </c>
      <c r="M651" s="534"/>
      <c r="N651" s="549">
        <f ca="1">IFERROR(__xludf.DUMMYFUNCTION("IMPORTRANGE(""https://docs.google.com/spreadsheets/d/1IYY_tgx_IHuhSq3AJ5eI5OnqOPBNLWSHKh2a30DoXe8/edit?usp=sharing"",""ชุมพร!M546"")"),0)</f>
        <v>0</v>
      </c>
      <c r="O651" s="548">
        <f t="shared" ca="1" si="132"/>
        <v>0</v>
      </c>
      <c r="P651" s="548"/>
    </row>
    <row r="652" spans="1:16" ht="21.75" customHeight="1" x14ac:dyDescent="0.3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IFERROR(__xludf.DUMMYFUNCTION("IMPORTRANGE(""https://docs.google.com/spreadsheets/d/1IYY_tgx_IHuhSq3AJ5eI5OnqOPBNLWSHKh2a30DoXe8/edit?usp=sharing"",""ชุมพร!J547"")"),0)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3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IFERROR(__xludf.DUMMYFUNCTION("IMPORTRANGE(""https://docs.google.com/spreadsheets/d/1IYY_tgx_IHuhSq3AJ5eI5OnqOPBNLWSHKh2a30DoXe8/edit?usp=sharing"",""ชุมพร!J548"")"),0)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3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3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IFERROR(__xludf.DUMMYFUNCTION("IMPORTRANGE(""https://docs.google.com/spreadsheets/d/1IYY_tgx_IHuhSq3AJ5eI5OnqOPBNLWSHKh2a30DoXe8/edit?usp=sharing"",""ชุมพร!J550"")"),0)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3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IFERROR(__xludf.DUMMYFUNCTION("IMPORTRANGE(""https://docs.google.com/spreadsheets/d/1IYY_tgx_IHuhSq3AJ5eI5OnqOPBNLWSHKh2a30DoXe8/edit?usp=sharing"",""ชุมพร!J551"")"),0)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3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IFERROR(__xludf.DUMMYFUNCTION("IMPORTRANGE(""https://docs.google.com/spreadsheets/d/1IYY_tgx_IHuhSq3AJ5eI5OnqOPBNLWSHKh2a30DoXe8/edit?usp=sharing"",""ชุมพร!J552"")"),0)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3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IFERROR(__xludf.DUMMYFUNCTION("IMPORTRANGE(""https://docs.google.com/spreadsheets/d/1IYY_tgx_IHuhSq3AJ5eI5OnqOPBNLWSHKh2a30DoXe8/edit?usp=sharing"",""ชุมพร!J553"")"),0)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3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IFERROR(__xludf.DUMMYFUNCTION("IMPORTRANGE(""https://docs.google.com/spreadsheets/d/1IYY_tgx_IHuhSq3AJ5eI5OnqOPBNLWSHKh2a30DoXe8/edit?usp=sharing"",""ชุมพร!J554"")"),0)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3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IFERROR(__xludf.DUMMYFUNCTION("IMPORTRANGE(""https://docs.google.com/spreadsheets/d/1IYY_tgx_IHuhSq3AJ5eI5OnqOPBNLWSHKh2a30DoXe8/edit?usp=sharing"",""ชุมพร!J555"")"),0)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3">
      <c r="A661" s="525"/>
      <c r="B661" s="526"/>
      <c r="C661" s="526"/>
      <c r="D661" s="526"/>
      <c r="E661" s="526"/>
      <c r="F661" s="598" t="s">
        <v>252</v>
      </c>
      <c r="G661" s="575"/>
      <c r="H661" s="529" t="s">
        <v>37</v>
      </c>
      <c r="I661" s="550"/>
      <c r="J661" s="547">
        <f ca="1">IFERROR(__xludf.DUMMYFUNCTION("IMPORTRANGE(""https://docs.google.com/spreadsheets/d/1IYY_tgx_IHuhSq3AJ5eI5OnqOPBNLWSHKh2a30DoXe8/edit?usp=sharing"",""ชุมพร!J556"")"),0)</f>
        <v>0</v>
      </c>
      <c r="K661" s="548"/>
      <c r="L661" s="535">
        <f ca="1">IFERROR(__xludf.DUMMYFUNCTION("IMPORTRANGE(""https://docs.google.com/spreadsheets/d/1IYY_tgx_IHuhSq3AJ5eI5OnqOPBNLWSHKh2a30DoXe8/edit?usp=sharing"",""ชุมพร!L556"")"),0)</f>
        <v>0</v>
      </c>
      <c r="M661" s="534"/>
      <c r="N661" s="549">
        <f ca="1">IFERROR(__xludf.DUMMYFUNCTION("IMPORTRANGE(""https://docs.google.com/spreadsheets/d/1IYY_tgx_IHuhSq3AJ5eI5OnqOPBNLWSHKh2a30DoXe8/edit?usp=sharing"",""ชุมพร!M556"")"),0)</f>
        <v>0</v>
      </c>
      <c r="O661" s="548">
        <f ca="1">IF(L661&gt;0,N661*100/L661,0)</f>
        <v>0</v>
      </c>
      <c r="P661" s="548"/>
    </row>
    <row r="662" spans="1:16" ht="21.75" customHeight="1" x14ac:dyDescent="0.3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IFERROR(__xludf.DUMMYFUNCTION("IMPORTRANGE(""https://docs.google.com/spreadsheets/d/1IYY_tgx_IHuhSq3AJ5eI5OnqOPBNLWSHKh2a30DoXe8/edit?usp=sharing"",""ชุมพร!J557"")"),0)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3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IFERROR(__xludf.DUMMYFUNCTION("IMPORTRANGE(""https://docs.google.com/spreadsheets/d/1IYY_tgx_IHuhSq3AJ5eI5OnqOPBNLWSHKh2a30DoXe8/edit?usp=sharing"",""ชุมพร!I558"")"),0)</f>
        <v>0</v>
      </c>
      <c r="J663" s="547">
        <f ca="1">IFERROR(__xludf.DUMMYFUNCTION("IMPORTRANGE(""https://docs.google.com/spreadsheets/d/1IYY_tgx_IHuhSq3AJ5eI5OnqOPBNLWSHKh2a30DoXe8/edit?usp=sharing"",""ชุมพร!J558"")"),0)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3">
      <c r="A664" s="525"/>
      <c r="B664" s="526"/>
      <c r="C664" s="526"/>
      <c r="D664" s="526"/>
      <c r="E664" s="526"/>
      <c r="F664" s="598" t="s">
        <v>253</v>
      </c>
      <c r="G664" s="575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3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IFERROR(__xludf.DUMMYFUNCTION("IMPORTRANGE(""https://docs.google.com/spreadsheets/d/1IYY_tgx_IHuhSq3AJ5eI5OnqOPBNLWSHKh2a30DoXe8/edit?usp=sharing"",""ชุมพร!I560"")"),0)</f>
        <v>0</v>
      </c>
      <c r="J665" s="547">
        <f ca="1">IFERROR(__xludf.DUMMYFUNCTION("IMPORTRANGE(""https://docs.google.com/spreadsheets/d/1IYY_tgx_IHuhSq3AJ5eI5OnqOPBNLWSHKh2a30DoXe8/edit?usp=sharing"",""ชุมพร!J560"")"),0)</f>
        <v>0</v>
      </c>
      <c r="K665" s="548">
        <f ca="1">IF(I665&gt;0,J665*100/I665,0)</f>
        <v>0</v>
      </c>
      <c r="L665" s="535">
        <f ca="1">IFERROR(__xludf.DUMMYFUNCTION("IMPORTRANGE(""https://docs.google.com/spreadsheets/d/1IYY_tgx_IHuhSq3AJ5eI5OnqOPBNLWSHKh2a30DoXe8/edit?usp=sharing"",""ชุมพร!L560"")"),0)</f>
        <v>0</v>
      </c>
      <c r="M665" s="534"/>
      <c r="N665" s="549">
        <f ca="1">IFERROR(__xludf.DUMMYFUNCTION("IMPORTRANGE(""https://docs.google.com/spreadsheets/d/1IYY_tgx_IHuhSq3AJ5eI5OnqOPBNLWSHKh2a30DoXe8/edit?usp=sharing"",""ชุมพร!M560"")"),0)</f>
        <v>0</v>
      </c>
      <c r="O665" s="548">
        <f ca="1">IF(L665&gt;0,N665*100/L665,0)</f>
        <v>0</v>
      </c>
      <c r="P665" s="548"/>
    </row>
    <row r="666" spans="1:16" ht="21.75" customHeight="1" x14ac:dyDescent="0.3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IFERROR(__xludf.DUMMYFUNCTION("IMPORTRANGE(""https://docs.google.com/spreadsheets/d/1IYY_tgx_IHuhSq3AJ5eI5OnqOPBNLWSHKh2a30DoXe8/edit?usp=sharing"",""ชุมพร!J561"")"),0)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3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IFERROR(__xludf.DUMMYFUNCTION("IMPORTRANGE(""https://docs.google.com/spreadsheets/d/1IYY_tgx_IHuhSq3AJ5eI5OnqOPBNLWSHKh2a30DoXe8/edit?usp=sharing"",""ชุมพร!J562"")"),0)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3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IFERROR(__xludf.DUMMYFUNCTION("IMPORTRANGE(""https://docs.google.com/spreadsheets/d/1IYY_tgx_IHuhSq3AJ5eI5OnqOPBNLWSHKh2a30DoXe8/edit?usp=sharing"",""ชุมพร!I563"")"),0)</f>
        <v>0</v>
      </c>
      <c r="J668" s="547">
        <f ca="1">IFERROR(__xludf.DUMMYFUNCTION("IMPORTRANGE(""https://docs.google.com/spreadsheets/d/1IYY_tgx_IHuhSq3AJ5eI5OnqOPBNLWSHKh2a30DoXe8/edit?usp=sharing"",""ชุมพร!J563"")"),0)</f>
        <v>0</v>
      </c>
      <c r="K668" s="548">
        <f ca="1">IF(I668&gt;0,J668*100/I668,0)</f>
        <v>0</v>
      </c>
      <c r="L668" s="535">
        <f ca="1">IFERROR(__xludf.DUMMYFUNCTION("IMPORTRANGE(""https://docs.google.com/spreadsheets/d/1IYY_tgx_IHuhSq3AJ5eI5OnqOPBNLWSHKh2a30DoXe8/edit?usp=sharing"",""ชุมพร!L563"")"),0)</f>
        <v>0</v>
      </c>
      <c r="M668" s="534"/>
      <c r="N668" s="549">
        <f ca="1">IFERROR(__xludf.DUMMYFUNCTION("IMPORTRANGE(""https://docs.google.com/spreadsheets/d/1IYY_tgx_IHuhSq3AJ5eI5OnqOPBNLWSHKh2a30DoXe8/edit?usp=sharing"",""ชุมพร!M563"")"),0)</f>
        <v>0</v>
      </c>
      <c r="O668" s="548">
        <f ca="1">IF(L668&gt;0,N668*100/L668,0)</f>
        <v>0</v>
      </c>
      <c r="P668" s="548"/>
    </row>
    <row r="669" spans="1:16" ht="21.75" customHeight="1" x14ac:dyDescent="0.3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IFERROR(__xludf.DUMMYFUNCTION("IMPORTRANGE(""https://docs.google.com/spreadsheets/d/1IYY_tgx_IHuhSq3AJ5eI5OnqOPBNLWSHKh2a30DoXe8/edit?usp=sharing"",""ชุมพร!J564"")"),0)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3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IFERROR(__xludf.DUMMYFUNCTION("IMPORTRANGE(""https://docs.google.com/spreadsheets/d/1IYY_tgx_IHuhSq3AJ5eI5OnqOPBNLWSHKh2a30DoXe8/edit?usp=sharing"",""ชุมพร!J565"")"),0)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3">
      <c r="A671" s="525"/>
      <c r="B671" s="526"/>
      <c r="C671" s="526"/>
      <c r="D671" s="526"/>
      <c r="E671" s="526"/>
      <c r="F671" s="598" t="s">
        <v>256</v>
      </c>
      <c r="G671" s="575"/>
      <c r="H671" s="529" t="s">
        <v>122</v>
      </c>
      <c r="I671" s="546">
        <f ca="1">IFERROR(__xludf.DUMMYFUNCTION("IMPORTRANGE(""https://docs.google.com/spreadsheets/d/1IYY_tgx_IHuhSq3AJ5eI5OnqOPBNLWSHKh2a30DoXe8/edit?usp=sharing"",""ชุมพร!I566"")"),0)</f>
        <v>0</v>
      </c>
      <c r="J671" s="547">
        <f ca="1">J674+J677</f>
        <v>0</v>
      </c>
      <c r="K671" s="548">
        <f ca="1">IF(I671&gt;0,J671*100/I671,0)</f>
        <v>0</v>
      </c>
      <c r="L671" s="535">
        <f ca="1">IFERROR(__xludf.DUMMYFUNCTION("IMPORTRANGE(""https://docs.google.com/spreadsheets/d/1IYY_tgx_IHuhSq3AJ5eI5OnqOPBNLWSHKh2a30DoXe8/edit?usp=sharing"",""ชุมพร!L566"")"),0)</f>
        <v>0</v>
      </c>
      <c r="M671" s="534"/>
      <c r="N671" s="549">
        <f ca="1">IFERROR(__xludf.DUMMYFUNCTION("IMPORTRANGE(""https://docs.google.com/spreadsheets/d/1IYY_tgx_IHuhSq3AJ5eI5OnqOPBNLWSHKh2a30DoXe8/edit?usp=sharing"",""ชุมพร!M566"")"),0)</f>
        <v>0</v>
      </c>
      <c r="O671" s="548">
        <f ca="1">IF(L671&gt;0,N671*100/L671,0)</f>
        <v>0</v>
      </c>
      <c r="P671" s="548"/>
    </row>
    <row r="672" spans="1:16" ht="21.75" customHeight="1" x14ac:dyDescent="0.3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IFERROR(__xludf.DUMMYFUNCTION("IMPORTRANGE(""https://docs.google.com/spreadsheets/d/1IYY_tgx_IHuhSq3AJ5eI5OnqOPBNLWSHKh2a30DoXe8/edit?usp=sharing"",""ชุมพร!J567"")"),0)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3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IFERROR(__xludf.DUMMYFUNCTION("IMPORTRANGE(""https://docs.google.com/spreadsheets/d/1IYY_tgx_IHuhSq3AJ5eI5OnqOPBNLWSHKh2a30DoXe8/edit?usp=sharing"",""ชุมพร!J568"")"),0)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3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IFERROR(__xludf.DUMMYFUNCTION("IMPORTRANGE(""https://docs.google.com/spreadsheets/d/1IYY_tgx_IHuhSq3AJ5eI5OnqOPBNLWSHKh2a30DoXe8/edit?usp=sharing"",""ชุมพร!J569"")"),0)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3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IFERROR(__xludf.DUMMYFUNCTION("IMPORTRANGE(""https://docs.google.com/spreadsheets/d/1IYY_tgx_IHuhSq3AJ5eI5OnqOPBNLWSHKh2a30DoXe8/edit?usp=sharing"",""ชุมพร!J570"")"),0)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3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IFERROR(__xludf.DUMMYFUNCTION("IMPORTRANGE(""https://docs.google.com/spreadsheets/d/1IYY_tgx_IHuhSq3AJ5eI5OnqOPBNLWSHKh2a30DoXe8/edit?usp=sharing"",""ชุมพร!J571"")"),0)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3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IFERROR(__xludf.DUMMYFUNCTION("IMPORTRANGE(""https://docs.google.com/spreadsheets/d/1IYY_tgx_IHuhSq3AJ5eI5OnqOPBNLWSHKh2a30DoXe8/edit?usp=sharing"",""ชุมพร!J572"")"),0)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2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2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2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2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2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2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2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2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2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2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2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2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2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2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2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2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2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2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2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2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2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2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2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2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2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2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2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2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2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2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2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2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2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2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2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2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2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2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2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2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2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2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2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2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2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2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2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2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2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2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2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2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2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2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2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2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2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2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2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2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2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2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2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2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2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2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2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2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2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2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2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2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2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2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2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2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2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2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2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2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2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2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2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2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2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2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2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2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2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2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2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2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2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2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2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2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2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2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2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2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2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2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2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2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2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2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2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2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2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2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2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2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2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2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2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2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2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2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2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2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2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2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2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2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2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2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2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2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2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2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2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2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2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2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2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2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2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2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2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2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2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2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2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2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2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2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2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2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2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2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2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2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2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2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2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2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2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2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2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2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2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2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2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2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2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2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2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2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2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2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2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2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2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2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2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2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2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2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2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2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2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2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2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2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2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2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2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2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2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2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2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2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2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2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2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2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2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2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2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2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2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2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2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2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2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2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2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2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2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2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2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2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2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2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2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2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2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2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2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2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2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2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2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2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2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2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2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2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2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2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2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2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2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2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2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2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2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2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2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2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2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2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2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2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2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2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2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2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2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2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2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2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2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2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2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2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2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2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2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2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2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2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2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2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2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2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2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2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2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2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2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2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2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2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2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2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2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2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2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2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2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2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2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2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2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2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2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2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2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2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2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2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2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2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2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2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2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2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2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2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2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2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2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2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2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2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2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2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2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2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2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2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2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2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2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2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2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2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2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2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2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2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2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2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2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2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2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2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2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2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2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2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2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2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2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2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2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2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2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2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2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2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2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2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2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2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2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2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2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2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2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2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2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2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2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2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2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2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2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2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2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2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2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2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2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2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2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2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2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2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2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2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2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2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2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2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2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2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2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2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2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2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2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2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2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2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2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2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2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2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2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2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2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2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2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2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2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2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2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2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2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2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2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2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2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2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2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2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2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2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2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2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2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2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2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2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2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2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2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2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2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2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2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2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2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2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2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2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2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2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2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2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2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2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2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2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2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2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2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2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2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2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2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2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2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2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2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2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2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2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2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2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2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2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2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2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2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2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2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2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2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2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2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2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2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2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19685039370078741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32" max="16383" man="1"/>
    <brk id="626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86" t="s">
        <v>0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  <c r="N1" s="586"/>
      <c r="O1" s="586"/>
      <c r="P1" s="586"/>
    </row>
    <row r="2" spans="1:16" ht="18" customHeight="1" x14ac:dyDescent="0.25">
      <c r="A2" s="586" t="s">
        <v>264</v>
      </c>
      <c r="B2" s="586"/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86"/>
      <c r="P2" s="586"/>
    </row>
    <row r="3" spans="1:16" ht="18" customHeight="1" x14ac:dyDescent="0.25">
      <c r="A3" s="586" t="s">
        <v>290</v>
      </c>
      <c r="B3" s="586"/>
      <c r="C3" s="586"/>
      <c r="D3" s="586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  <c r="P3" s="586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2" t="s">
        <v>2</v>
      </c>
      <c r="B5" s="593"/>
      <c r="C5" s="593"/>
      <c r="D5" s="593"/>
      <c r="E5" s="593"/>
      <c r="F5" s="593"/>
      <c r="G5" s="594"/>
      <c r="H5" s="587" t="s">
        <v>3</v>
      </c>
      <c r="I5" s="589" t="s">
        <v>4</v>
      </c>
      <c r="J5" s="580"/>
      <c r="K5" s="581"/>
      <c r="L5" s="590" t="s">
        <v>5</v>
      </c>
      <c r="M5" s="581"/>
      <c r="N5" s="591" t="s">
        <v>6</v>
      </c>
      <c r="O5" s="580"/>
      <c r="P5" s="581"/>
    </row>
    <row r="6" spans="1:16" ht="21.75" customHeight="1" x14ac:dyDescent="0.25">
      <c r="A6" s="595"/>
      <c r="B6" s="596"/>
      <c r="C6" s="596"/>
      <c r="D6" s="596"/>
      <c r="E6" s="596"/>
      <c r="F6" s="596"/>
      <c r="G6" s="597"/>
      <c r="H6" s="58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5" t="s">
        <v>15</v>
      </c>
      <c r="B7" s="580"/>
      <c r="C7" s="580"/>
      <c r="D7" s="580"/>
      <c r="E7" s="580"/>
      <c r="F7" s="580"/>
      <c r="G7" s="58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4" t="s">
        <v>17</v>
      </c>
      <c r="E8" s="573"/>
      <c r="F8" s="573"/>
      <c r="G8" s="573"/>
      <c r="H8" s="20" t="s">
        <v>12</v>
      </c>
      <c r="I8" s="21"/>
      <c r="J8" s="21"/>
      <c r="K8" s="22"/>
      <c r="L8" s="23">
        <f t="shared" ref="L8:N8" ca="1" si="0">L9+L10</f>
        <v>3976129</v>
      </c>
      <c r="M8" s="23">
        <f t="shared" ca="1" si="0"/>
        <v>2887331</v>
      </c>
      <c r="N8" s="23">
        <f t="shared" ca="1" si="0"/>
        <v>3335920.4299999997</v>
      </c>
      <c r="O8" s="22">
        <f t="shared" ref="O8:O16" ca="1" si="1">IF(L8&gt;0,N8*100/L8,0)</f>
        <v>83.898697200216588</v>
      </c>
      <c r="P8" s="22">
        <f t="shared" ref="P8:P16" ca="1" si="2">IF(M8&gt;0,N8*100/M8,0)</f>
        <v>115.53647399622696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3976129</v>
      </c>
      <c r="M10" s="30">
        <f t="shared" ca="1" si="4"/>
        <v>2887331</v>
      </c>
      <c r="N10" s="30">
        <f t="shared" ca="1" si="4"/>
        <v>3335920.4299999997</v>
      </c>
      <c r="O10" s="29">
        <f t="shared" ca="1" si="1"/>
        <v>83.898697200216588</v>
      </c>
      <c r="P10" s="29">
        <f t="shared" ca="1" si="2"/>
        <v>115.53647399622696</v>
      </c>
    </row>
    <row r="11" spans="1:16" ht="21.75" customHeight="1" x14ac:dyDescent="0.3">
      <c r="A11" s="31"/>
      <c r="B11" s="32"/>
      <c r="C11" s="33" t="s">
        <v>16</v>
      </c>
      <c r="D11" s="574" t="s">
        <v>20</v>
      </c>
      <c r="E11" s="575"/>
      <c r="F11" s="57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3732529</v>
      </c>
      <c r="M12" s="38">
        <f t="shared" ca="1" si="6"/>
        <v>2643731</v>
      </c>
      <c r="N12" s="38">
        <f t="shared" ca="1" si="6"/>
        <v>3092320.4299999997</v>
      </c>
      <c r="O12" s="38">
        <f t="shared" ca="1" si="1"/>
        <v>82.847860793579898</v>
      </c>
      <c r="P12" s="38">
        <f t="shared" ca="1" si="2"/>
        <v>116.96804364740588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1852006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1880523</v>
      </c>
      <c r="M14" s="38">
        <f t="shared" si="8"/>
        <v>0</v>
      </c>
      <c r="N14" s="38">
        <f t="shared" ca="1" si="8"/>
        <v>790732.46999999986</v>
      </c>
      <c r="O14" s="41">
        <f t="shared" ca="1" si="1"/>
        <v>42.048540219928171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4" t="s">
        <v>23</v>
      </c>
      <c r="E15" s="57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243600</v>
      </c>
      <c r="M16" s="38">
        <f t="shared" ca="1" si="10"/>
        <v>243600</v>
      </c>
      <c r="N16" s="38">
        <f t="shared" ca="1" si="10"/>
        <v>243600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85" t="s">
        <v>24</v>
      </c>
      <c r="B17" s="580"/>
      <c r="C17" s="580"/>
      <c r="D17" s="580"/>
      <c r="E17" s="580"/>
      <c r="F17" s="580"/>
      <c r="G17" s="58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4" t="s">
        <v>17</v>
      </c>
      <c r="E18" s="573"/>
      <c r="F18" s="573"/>
      <c r="G18" s="573"/>
      <c r="H18" s="20" t="s">
        <v>12</v>
      </c>
      <c r="I18" s="21"/>
      <c r="J18" s="21"/>
      <c r="K18" s="22"/>
      <c r="L18" s="23">
        <f t="shared" ref="L18:N18" ca="1" si="11">L19+L20</f>
        <v>2736981</v>
      </c>
      <c r="M18" s="23">
        <f t="shared" ca="1" si="11"/>
        <v>2887331</v>
      </c>
      <c r="N18" s="23">
        <f t="shared" ca="1" si="11"/>
        <v>2545187.96</v>
      </c>
      <c r="O18" s="22">
        <f t="shared" ref="O18:O20" ca="1" si="12">IF(L18&gt;0,N18*100/L18,0)</f>
        <v>92.992533013564952</v>
      </c>
      <c r="P18" s="22">
        <f t="shared" ref="P18:P26" ca="1" si="13">IF(M18&gt;0,N18*100/M18,0)</f>
        <v>88.150196842689667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2736981</v>
      </c>
      <c r="M20" s="30">
        <f t="shared" ca="1" si="15"/>
        <v>2887331</v>
      </c>
      <c r="N20" s="30">
        <f t="shared" ca="1" si="15"/>
        <v>2545187.96</v>
      </c>
      <c r="O20" s="29">
        <f t="shared" ca="1" si="12"/>
        <v>92.992533013564952</v>
      </c>
      <c r="P20" s="29">
        <f t="shared" ca="1" si="13"/>
        <v>88.150196842689667</v>
      </c>
    </row>
    <row r="21" spans="1:16" ht="21.75" customHeight="1" x14ac:dyDescent="0.3">
      <c r="A21" s="31"/>
      <c r="B21" s="32"/>
      <c r="C21" s="33" t="s">
        <v>16</v>
      </c>
      <c r="D21" s="574" t="s">
        <v>20</v>
      </c>
      <c r="E21" s="575"/>
      <c r="F21" s="575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2493381</v>
      </c>
      <c r="M22" s="42">
        <f t="shared" ca="1" si="18"/>
        <v>2643731</v>
      </c>
      <c r="N22" s="41">
        <f t="shared" ca="1" si="18"/>
        <v>2301587.96</v>
      </c>
      <c r="O22" s="41">
        <f t="shared" ca="1" si="17"/>
        <v>92.307912830008732</v>
      </c>
      <c r="P22" s="41">
        <f t="shared" ca="1" si="13"/>
        <v>87.058326282061216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1852006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641375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4" t="s">
        <v>23</v>
      </c>
      <c r="E25" s="575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243600</v>
      </c>
      <c r="M26" s="50">
        <f t="shared" ca="1" si="22"/>
        <v>243600</v>
      </c>
      <c r="N26" s="50">
        <f t="shared" ca="1" si="22"/>
        <v>243600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85" t="s">
        <v>25</v>
      </c>
      <c r="B27" s="580"/>
      <c r="C27" s="580"/>
      <c r="D27" s="580"/>
      <c r="E27" s="580"/>
      <c r="F27" s="580"/>
      <c r="G27" s="58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4" t="s">
        <v>17</v>
      </c>
      <c r="E28" s="573"/>
      <c r="F28" s="573"/>
      <c r="G28" s="573"/>
      <c r="H28" s="20" t="s">
        <v>12</v>
      </c>
      <c r="I28" s="21"/>
      <c r="J28" s="21"/>
      <c r="K28" s="22"/>
      <c r="L28" s="23">
        <f t="shared" ref="L28:N28" ca="1" si="23">L29+L30</f>
        <v>1239148</v>
      </c>
      <c r="M28" s="23">
        <f t="shared" si="23"/>
        <v>0</v>
      </c>
      <c r="N28" s="23">
        <f t="shared" ca="1" si="23"/>
        <v>790732.46999999986</v>
      </c>
      <c r="O28" s="22">
        <f t="shared" ref="O28:O30" ca="1" si="24">IF(L28&gt;0,N28*100/L28,0)</f>
        <v>63.812593007453493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1239148</v>
      </c>
      <c r="M30" s="30">
        <f t="shared" si="27"/>
        <v>0</v>
      </c>
      <c r="N30" s="30">
        <f t="shared" ca="1" si="27"/>
        <v>790732.46999999986</v>
      </c>
      <c r="O30" s="29">
        <f t="shared" ca="1" si="24"/>
        <v>63.812593007453493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4" t="s">
        <v>20</v>
      </c>
      <c r="E31" s="575"/>
      <c r="F31" s="575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1239148</v>
      </c>
      <c r="M32" s="41">
        <f t="shared" si="30"/>
        <v>0</v>
      </c>
      <c r="N32" s="41">
        <f t="shared" ca="1" si="30"/>
        <v>790732.46999999986</v>
      </c>
      <c r="O32" s="41">
        <f t="shared" ca="1" si="29"/>
        <v>63.812593007453493</v>
      </c>
      <c r="P32" s="41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1239148</v>
      </c>
      <c r="M34" s="41">
        <f t="shared" si="32"/>
        <v>0</v>
      </c>
      <c r="N34" s="41">
        <f t="shared" ca="1" si="32"/>
        <v>790732.46999999986</v>
      </c>
      <c r="O34" s="41">
        <f t="shared" ca="1" si="29"/>
        <v>63.812593007453493</v>
      </c>
      <c r="P34" s="41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4" t="s">
        <v>23</v>
      </c>
      <c r="E35" s="575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2736981</v>
      </c>
      <c r="M37" s="55">
        <f t="shared" ca="1" si="33"/>
        <v>2887331</v>
      </c>
      <c r="N37" s="55">
        <f t="shared" ca="1" si="33"/>
        <v>2545187.96</v>
      </c>
      <c r="O37" s="56">
        <f t="shared" ca="1" si="29"/>
        <v>92.992533013564952</v>
      </c>
      <c r="P37" s="56">
        <f t="shared" ca="1" si="25"/>
        <v>88.150196842689667</v>
      </c>
    </row>
    <row r="38" spans="1:16" ht="21.75" customHeight="1" x14ac:dyDescent="0.3">
      <c r="A38" s="579" t="s">
        <v>27</v>
      </c>
      <c r="B38" s="580"/>
      <c r="C38" s="580"/>
      <c r="D38" s="580"/>
      <c r="E38" s="580"/>
      <c r="F38" s="580"/>
      <c r="G38" s="581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82" t="s">
        <v>28</v>
      </c>
      <c r="C39" s="573"/>
      <c r="D39" s="573"/>
      <c r="E39" s="573"/>
      <c r="F39" s="573"/>
      <c r="G39" s="573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83" t="s">
        <v>17</v>
      </c>
      <c r="E41" s="575"/>
      <c r="F41" s="575"/>
      <c r="G41" s="575"/>
      <c r="H41" s="76" t="s">
        <v>12</v>
      </c>
      <c r="I41" s="77"/>
      <c r="J41" s="77"/>
      <c r="K41" s="78"/>
      <c r="L41" s="79">
        <f t="shared" ref="L41:N41" ca="1" si="34">L42+L43</f>
        <v>777300</v>
      </c>
      <c r="M41" s="79">
        <f t="shared" ca="1" si="34"/>
        <v>777300</v>
      </c>
      <c r="N41" s="79">
        <f t="shared" ca="1" si="34"/>
        <v>689979.24</v>
      </c>
      <c r="O41" s="78">
        <f t="shared" ref="O41:O43" ca="1" si="35">IF(L41&gt;0,N41*100/L41,0)</f>
        <v>88.766144345812421</v>
      </c>
      <c r="P41" s="78">
        <f t="shared" ref="P41:P43" ca="1" si="36">IF(M41&gt;0,N41*100/M41,0)</f>
        <v>88.766144345812421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777300</v>
      </c>
      <c r="M43" s="79">
        <f t="shared" ca="1" si="38"/>
        <v>777300</v>
      </c>
      <c r="N43" s="79">
        <f t="shared" ca="1" si="38"/>
        <v>689979.24</v>
      </c>
      <c r="O43" s="78">
        <f t="shared" ca="1" si="35"/>
        <v>88.766144345812421</v>
      </c>
      <c r="P43" s="78">
        <f t="shared" ca="1" si="36"/>
        <v>88.766144345812421</v>
      </c>
    </row>
    <row r="44" spans="1:16" ht="21.75" customHeight="1" x14ac:dyDescent="0.3">
      <c r="A44" s="80"/>
      <c r="B44" s="81"/>
      <c r="C44" s="82" t="s">
        <v>16</v>
      </c>
      <c r="D44" s="576" t="s">
        <v>20</v>
      </c>
      <c r="E44" s="575"/>
      <c r="F44" s="575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777300</v>
      </c>
      <c r="M45" s="91">
        <f ca="1">IFERROR(__xludf.DUMMYFUNCTION("IMPORTRANGE(""https://docs.google.com/spreadsheets/d/1Yj_ptqi66GCucihVvJfMjLAmec39IyEx_6qawtMGysU/edit?usp=sharing"",""สบก!Q83"")"),777300)</f>
        <v>777300</v>
      </c>
      <c r="N45" s="91">
        <f ca="1">IFERROR(__xludf.DUMMYFUNCTION("IMPORTRANGE(""https://docs.google.com/spreadsheets/d/1Yj_ptqi66GCucihVvJfMjLAmec39IyEx_6qawtMGysU/edit?usp=sharing"",""สบก!R83"")"),689979.24)</f>
        <v>689979.24</v>
      </c>
      <c r="O45" s="92">
        <f ca="1">IF(L45&gt;0,N45*100/L45,0)</f>
        <v>88.766144345812421</v>
      </c>
      <c r="P45" s="92">
        <f ca="1">IF(M45&gt;0,N45*100/M45,0)</f>
        <v>88.766144345812421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IFERROR(__xludf.DUMMYFUNCTION("IMPORTRANGE(""https://docs.google.com/spreadsheets/d/1Yj_ptqi66GCucihVvJfMjLAmec39IyEx_6qawtMGysU/edit?usp=sharing"",""สบก!M83"")"),777300)</f>
        <v>777300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IFERROR(__xludf.DUMMYFUNCTION("IMPORTRANGE(""https://docs.google.com/spreadsheets/d/1Yj_ptqi66GCucihVvJfMjLAmec39IyEx_6qawtMGysU/edit?usp=sharing"",""สบก!N83"")"),0)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6" t="s">
        <v>23</v>
      </c>
      <c r="E48" s="57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IFERROR(__xludf.DUMMYFUNCTION("IMPORTRANGE(""https://docs.google.com/spreadsheets/d/1Yj_ptqi66GCucihVvJfMjLAmec39IyEx_6qawtMGysU/edit?usp=sharing"",""สบก!O83"")"),0)</f>
        <v>0</v>
      </c>
      <c r="M49" s="101"/>
      <c r="N49" s="91">
        <f ca="1">IFERROR(__xludf.DUMMYFUNCTION("IMPORTRANGE(""https://docs.google.com/spreadsheets/d/1Yj_ptqi66GCucihVvJfMjLAmec39IyEx_6qawtMGysU/edit?usp=sharing"",""สบก!S83"")"),0)</f>
        <v>0</v>
      </c>
      <c r="O49" s="101">
        <f ca="1">IF(L49&gt;0,N49*100/L49,0)</f>
        <v>0</v>
      </c>
      <c r="P49" s="101"/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577" t="s">
        <v>32</v>
      </c>
      <c r="C52" s="575"/>
      <c r="D52" s="575"/>
      <c r="E52" s="575"/>
      <c r="F52" s="575"/>
      <c r="G52" s="575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578" t="s">
        <v>17</v>
      </c>
      <c r="E53" s="575"/>
      <c r="F53" s="575"/>
      <c r="G53" s="575"/>
      <c r="H53" s="122" t="s">
        <v>12</v>
      </c>
      <c r="I53" s="123"/>
      <c r="J53" s="123"/>
      <c r="K53" s="124"/>
      <c r="L53" s="125">
        <f t="shared" ref="L53:N53" ca="1" si="39">L54+L55</f>
        <v>354506</v>
      </c>
      <c r="M53" s="125">
        <f t="shared" ca="1" si="39"/>
        <v>354506</v>
      </c>
      <c r="N53" s="125">
        <f t="shared" ca="1" si="39"/>
        <v>312160.67</v>
      </c>
      <c r="O53" s="124">
        <f t="shared" ref="O53:O55" ca="1" si="40">IF(L53&gt;0,N53*100/L53,0)</f>
        <v>88.055116133436385</v>
      </c>
      <c r="P53" s="124">
        <f t="shared" ref="P53:P55" ca="1" si="41">IF(M53&gt;0,N53*100/M53,0)</f>
        <v>88.055116133436385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354506</v>
      </c>
      <c r="M55" s="125">
        <f t="shared" ca="1" si="43"/>
        <v>354506</v>
      </c>
      <c r="N55" s="125">
        <f t="shared" ca="1" si="43"/>
        <v>312160.67</v>
      </c>
      <c r="O55" s="124">
        <f t="shared" ca="1" si="40"/>
        <v>88.055116133436385</v>
      </c>
      <c r="P55" s="124">
        <f t="shared" ca="1" si="41"/>
        <v>88.055116133436385</v>
      </c>
    </row>
    <row r="56" spans="1:16" ht="21.75" customHeight="1" x14ac:dyDescent="0.3">
      <c r="A56" s="80"/>
      <c r="B56" s="81"/>
      <c r="C56" s="82" t="s">
        <v>16</v>
      </c>
      <c r="D56" s="576" t="s">
        <v>20</v>
      </c>
      <c r="E56" s="575"/>
      <c r="F56" s="575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354506</v>
      </c>
      <c r="M57" s="91">
        <f ca="1">IFERROR(__xludf.DUMMYFUNCTION("IMPORTRANGE(""https://docs.google.com/spreadsheets/d/1Yj_ptqi66GCucihVvJfMjLAmec39IyEx_6qawtMGysU/edit?usp=sharing"",""สบก!Z83"")"),354506)</f>
        <v>354506</v>
      </c>
      <c r="N57" s="91">
        <f ca="1">IFERROR(__xludf.DUMMYFUNCTION("IMPORTRANGE(""https://docs.google.com/spreadsheets/d/1Yj_ptqi66GCucihVvJfMjLAmec39IyEx_6qawtMGysU/edit?usp=sharing"",""สบก!AA83"")"),312160.67)</f>
        <v>312160.67</v>
      </c>
      <c r="O57" s="92">
        <f ca="1">IF(L57&gt;0,N57*100/L57,0)</f>
        <v>88.055116133436385</v>
      </c>
      <c r="P57" s="92">
        <f ca="1">IF(M57&gt;0,N57*100/M57,0)</f>
        <v>88.055116133436385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IFERROR(__xludf.DUMMYFUNCTION("IMPORTRANGE(""https://docs.google.com/spreadsheets/d/1Yj_ptqi66GCucihVvJfMjLAmec39IyEx_6qawtMGysU/edit?usp=sharing"",""สบก!V83"")"),354506)</f>
        <v>354506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IFERROR(__xludf.DUMMYFUNCTION("IMPORTRANGE(""https://docs.google.com/spreadsheets/d/1Yj_ptqi66GCucihVvJfMjLAmec39IyEx_6qawtMGysU/edit?usp=sharing"",""สบก!W83"")"),0)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6" t="s">
        <v>23</v>
      </c>
      <c r="E60" s="57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IFERROR(__xludf.DUMMYFUNCTION("IMPORTRANGE(""https://docs.google.com/spreadsheets/d/1Yj_ptqi66GCucihVvJfMjLAmec39IyEx_6qawtMGysU/edit?usp=sharing"",""สบก!X83"")"),0)</f>
        <v>0</v>
      </c>
      <c r="M61" s="101"/>
      <c r="N61" s="91">
        <f ca="1">IFERROR(__xludf.DUMMYFUNCTION("IMPORTRANGE(""https://docs.google.com/spreadsheets/d/1Yj_ptqi66GCucihVvJfMjLAmec39IyEx_6qawtMGysU/edit?usp=sharing"",""สบก!AB83"")"),0)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IFERROR(__xludf.DUMMYFUNCTION("IMPORTRANGE(""https://docs.google.com/spreadsheets/d/1IYY_tgx_IHuhSq3AJ5eI5OnqOPBNLWSHKh2a30DoXe8/edit?usp=sharing"",""ตรัง!I9"")"),0)</f>
        <v>0</v>
      </c>
      <c r="J64" s="146">
        <f ca="1">IFERROR(__xludf.DUMMYFUNCTION("IMPORTRANGE(""https://docs.google.com/spreadsheets/d/1IYY_tgx_IHuhSq3AJ5eI5OnqOPBNLWSHKh2a30DoXe8/edit?usp=sharing"",""ตรัง!J9"")"),0)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IFERROR(__xludf.DUMMYFUNCTION("IMPORTRANGE(""https://docs.google.com/spreadsheets/d/1IYY_tgx_IHuhSq3AJ5eI5OnqOPBNLWSHKh2a30DoXe8/edit?usp=sharing"",""ตรัง!I10"")"),0)</f>
        <v>0</v>
      </c>
      <c r="J65" s="146">
        <f ca="1">IFERROR(__xludf.DUMMYFUNCTION("IMPORTRANGE(""https://docs.google.com/spreadsheets/d/1IYY_tgx_IHuhSq3AJ5eI5OnqOPBNLWSHKh2a30DoXe8/edit?usp=sharing"",""ตรัง!J10"")"),0)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2" t="s">
        <v>17</v>
      </c>
      <c r="E66" s="573"/>
      <c r="F66" s="573"/>
      <c r="G66" s="573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3">
      <c r="A69" s="162"/>
      <c r="B69" s="163"/>
      <c r="C69" s="163" t="s">
        <v>16</v>
      </c>
      <c r="D69" s="574" t="s">
        <v>20</v>
      </c>
      <c r="E69" s="575"/>
      <c r="F69" s="575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IFERROR(__xludf.DUMMYFUNCTION("IMPORTRANGE(""https://docs.google.com/spreadsheets/d/1Yj_ptqi66GCucihVvJfMjLAmec39IyEx_6qawtMGysU/edit?usp=sharing"",""สบก!AI83"")"),0)</f>
        <v>0</v>
      </c>
      <c r="N70" s="174">
        <f ca="1">IFERROR(__xludf.DUMMYFUNCTION("IMPORTRANGE(""https://docs.google.com/spreadsheets/d/1Yj_ptqi66GCucihVvJfMjLAmec39IyEx_6qawtMGysU/edit?usp=sharing"",""สบก!AJ83"")"),0)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IFERROR(__xludf.DUMMYFUNCTION("IMPORTRANGE(""https://docs.google.com/spreadsheets/d/1Yj_ptqi66GCucihVvJfMjLAmec39IyEx_6qawtMGysU/edit?usp=sharing"",""สบก!AE83"")"),0)</f>
        <v>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IFERROR(__xludf.DUMMYFUNCTION("IMPORTRANGE(""https://docs.google.com/spreadsheets/d/1Yj_ptqi66GCucihVvJfMjLAmec39IyEx_6qawtMGysU/edit?usp=sharing"",""สบก!AF83"")"),0)</f>
        <v>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6" t="s">
        <v>23</v>
      </c>
      <c r="E73" s="575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IFERROR(__xludf.DUMMYFUNCTION("IMPORTRANGE(""https://docs.google.com/spreadsheets/d/1Yj_ptqi66GCucihVvJfMjLAmec39IyEx_6qawtMGysU/edit?usp=sharing"",""สบก!AG83"")"),0)</f>
        <v>0</v>
      </c>
      <c r="M74" s="101"/>
      <c r="N74" s="91">
        <f ca="1">IFERROR(__xludf.DUMMYFUNCTION("IMPORTRANGE(""https://docs.google.com/spreadsheets/d/1Yj_ptqi66GCucihVvJfMjLAmec39IyEx_6qawtMGysU/edit?usp=sharing"",""สบก!AK83"")"),0)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IFERROR(__xludf.DUMMYFUNCTION("IMPORTRANGE(""https://docs.google.com/spreadsheets/d/1IYY_tgx_IHuhSq3AJ5eI5OnqOPBNLWSHKh2a30DoXe8/edit?usp=sharing"",""ตรัง!J16"")"),0)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IFERROR(__xludf.DUMMYFUNCTION("IMPORTRANGE(""https://docs.google.com/spreadsheets/d/1IYY_tgx_IHuhSq3AJ5eI5OnqOPBNLWSHKh2a30DoXe8/edit?usp=sharing"",""ตรัง!J17"")"),0)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IFERROR(__xludf.DUMMYFUNCTION("IMPORTRANGE(""https://docs.google.com/spreadsheets/d/1IYY_tgx_IHuhSq3AJ5eI5OnqOPBNLWSHKh2a30DoXe8/edit?usp=sharing"",""ตรัง!J18"")"),0)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IFERROR(__xludf.DUMMYFUNCTION("IMPORTRANGE(""https://docs.google.com/spreadsheets/d/1IYY_tgx_IHuhSq3AJ5eI5OnqOPBNLWSHKh2a30DoXe8/edit?usp=sharing"",""ตรัง!J19"")"),0)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IFERROR(__xludf.DUMMYFUNCTION("IMPORTRANGE(""https://docs.google.com/spreadsheets/d/1IYY_tgx_IHuhSq3AJ5eI5OnqOPBNLWSHKh2a30DoXe8/edit?usp=sharing"",""ตรัง!I20"")"),0)</f>
        <v>0</v>
      </c>
      <c r="J80" s="207">
        <f ca="1">IFERROR(__xludf.DUMMYFUNCTION("IMPORTRANGE(""https://docs.google.com/spreadsheets/d/1IYY_tgx_IHuhSq3AJ5eI5OnqOPBNLWSHKh2a30DoXe8/edit?usp=sharing"",""ตรัง!J20"")"),0)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IFERROR(__xludf.DUMMYFUNCTION("IMPORTRANGE(""https://docs.google.com/spreadsheets/d/1IYY_tgx_IHuhSq3AJ5eI5OnqOPBNLWSHKh2a30DoXe8/edit?usp=sharing"",""ตรัง!I21"")"),0)</f>
        <v>0</v>
      </c>
      <c r="J81" s="207">
        <f ca="1">IFERROR(__xludf.DUMMYFUNCTION("IMPORTRANGE(""https://docs.google.com/spreadsheets/d/1IYY_tgx_IHuhSq3AJ5eI5OnqOPBNLWSHKh2a30DoXe8/edit?usp=sharing"",""ตรัง!J21"")"),0)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IFERROR(__xludf.DUMMYFUNCTION("IMPORTRANGE(""https://docs.google.com/spreadsheets/d/1IYY_tgx_IHuhSq3AJ5eI5OnqOPBNLWSHKh2a30DoXe8/edit?usp=sharing"",""ตรัง!I22"")"),0)</f>
        <v>0</v>
      </c>
      <c r="J82" s="210">
        <f ca="1">IFERROR(__xludf.DUMMYFUNCTION("IMPORTRANGE(""https://docs.google.com/spreadsheets/d/1IYY_tgx_IHuhSq3AJ5eI5OnqOPBNLWSHKh2a30DoXe8/edit?usp=sharing"",""ตรัง!J22"")"),0)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IFERROR(__xludf.DUMMYFUNCTION("IMPORTRANGE(""https://docs.google.com/spreadsheets/d/1IYY_tgx_IHuhSq3AJ5eI5OnqOPBNLWSHKh2a30DoXe8/edit?usp=sharing"",""ตรัง!I23"")"),0)</f>
        <v>0</v>
      </c>
      <c r="J83" s="210">
        <f ca="1">IFERROR(__xludf.DUMMYFUNCTION("IMPORTRANGE(""https://docs.google.com/spreadsheets/d/1IYY_tgx_IHuhSq3AJ5eI5OnqOPBNLWSHKh2a30DoXe8/edit?usp=sharing"",""ตรัง!J23"")"),0)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IFERROR(__xludf.DUMMYFUNCTION("IMPORTRANGE(""https://docs.google.com/spreadsheets/d/1IYY_tgx_IHuhSq3AJ5eI5OnqOPBNLWSHKh2a30DoXe8/edit?usp=sharing"",""ตรัง!I24"")"),0)</f>
        <v>0</v>
      </c>
      <c r="J84" s="195">
        <f ca="1">IFERROR(__xludf.DUMMYFUNCTION("IMPORTRANGE(""https://docs.google.com/spreadsheets/d/1IYY_tgx_IHuhSq3AJ5eI5OnqOPBNLWSHKh2a30DoXe8/edit?usp=sharing"",""ตรัง!J24"")"),0)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IFERROR(__xludf.DUMMYFUNCTION("IMPORTRANGE(""https://docs.google.com/spreadsheets/d/1IYY_tgx_IHuhSq3AJ5eI5OnqOPBNLWSHKh2a30DoXe8/edit?usp=sharing"",""ตรัง!I25"")"),0)</f>
        <v>0</v>
      </c>
      <c r="J85" s="195">
        <f ca="1">IFERROR(__xludf.DUMMYFUNCTION("IMPORTRANGE(""https://docs.google.com/spreadsheets/d/1IYY_tgx_IHuhSq3AJ5eI5OnqOPBNLWSHKh2a30DoXe8/edit?usp=sharing"",""ตรัง!J25"")"),0)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IFERROR(__xludf.DUMMYFUNCTION("IMPORTRANGE(""https://docs.google.com/spreadsheets/d/1IYY_tgx_IHuhSq3AJ5eI5OnqOPBNLWSHKh2a30DoXe8/edit?usp=sharing"",""ตรัง!I26"")"),0)</f>
        <v>0</v>
      </c>
      <c r="J86" s="210">
        <f ca="1">IFERROR(__xludf.DUMMYFUNCTION("IMPORTRANGE(""https://docs.google.com/spreadsheets/d/1IYY_tgx_IHuhSq3AJ5eI5OnqOPBNLWSHKh2a30DoXe8/edit?usp=sharing"",""ตรัง!J26"")"),0)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IFERROR(__xludf.DUMMYFUNCTION("IMPORTRANGE(""https://docs.google.com/spreadsheets/d/1IYY_tgx_IHuhSq3AJ5eI5OnqOPBNLWSHKh2a30DoXe8/edit?usp=sharing"",""ตรัง!I27"")"),0)</f>
        <v>0</v>
      </c>
      <c r="J87" s="210">
        <f ca="1">IFERROR(__xludf.DUMMYFUNCTION("IMPORTRANGE(""https://docs.google.com/spreadsheets/d/1IYY_tgx_IHuhSq3AJ5eI5OnqOPBNLWSHKh2a30DoXe8/edit?usp=sharing"",""ตรัง!J27"")"),0)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IFERROR(__xludf.DUMMYFUNCTION("IMPORTRANGE(""https://docs.google.com/spreadsheets/d/1IYY_tgx_IHuhSq3AJ5eI5OnqOPBNLWSHKh2a30DoXe8/edit?usp=sharing"",""ตรัง!I28"")"),0)</f>
        <v>0</v>
      </c>
      <c r="J88" s="210">
        <f ca="1">IFERROR(__xludf.DUMMYFUNCTION("IMPORTRANGE(""https://docs.google.com/spreadsheets/d/1IYY_tgx_IHuhSq3AJ5eI5OnqOPBNLWSHKh2a30DoXe8/edit?usp=sharing"",""ตรัง!J28"")"),0)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IFERROR(__xludf.DUMMYFUNCTION("IMPORTRANGE(""https://docs.google.com/spreadsheets/d/1IYY_tgx_IHuhSq3AJ5eI5OnqOPBNLWSHKh2a30DoXe8/edit?usp=sharing"",""ตรัง!J29"")"),0)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IFERROR(__xludf.DUMMYFUNCTION("IMPORTRANGE(""https://docs.google.com/spreadsheets/d/1IYY_tgx_IHuhSq3AJ5eI5OnqOPBNLWSHKh2a30DoXe8/edit?usp=sharing"",""ตรัง!J30"")"),0)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IFERROR(__xludf.DUMMYFUNCTION("IMPORTRANGE(""https://docs.google.com/spreadsheets/d/1IYY_tgx_IHuhSq3AJ5eI5OnqOPBNLWSHKh2a30DoXe8/edit?usp=sharing"",""ตรัง!I32"")"),4)</f>
        <v>4</v>
      </c>
      <c r="J92" s="146">
        <f ca="1">IFERROR(__xludf.DUMMYFUNCTION("IMPORTRANGE(""https://docs.google.com/spreadsheets/d/1IYY_tgx_IHuhSq3AJ5eI5OnqOPBNLWSHKh2a30DoXe8/edit?usp=sharing"",""ตรัง!J32"")"),4)</f>
        <v>4</v>
      </c>
      <c r="K92" s="147">
        <f t="shared" ref="K92:K93" ca="1" si="51">IF(I92&gt;0,J92*100/I92,0)</f>
        <v>100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IFERROR(__xludf.DUMMYFUNCTION("IMPORTRANGE(""https://docs.google.com/spreadsheets/d/1IYY_tgx_IHuhSq3AJ5eI5OnqOPBNLWSHKh2a30DoXe8/edit?usp=sharing"",""ตรัง!I33"")"),1)</f>
        <v>1</v>
      </c>
      <c r="J93" s="146">
        <f ca="1">IFERROR(__xludf.DUMMYFUNCTION("IMPORTRANGE(""https://docs.google.com/spreadsheets/d/1IYY_tgx_IHuhSq3AJ5eI5OnqOPBNLWSHKh2a30DoXe8/edit?usp=sharing"",""ตรัง!J33"")"),1)</f>
        <v>1</v>
      </c>
      <c r="K93" s="147">
        <f t="shared" ca="1" si="51"/>
        <v>100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2" t="s">
        <v>17</v>
      </c>
      <c r="E94" s="573"/>
      <c r="F94" s="573"/>
      <c r="G94" s="573"/>
      <c r="H94" s="153" t="s">
        <v>12</v>
      </c>
      <c r="I94" s="166"/>
      <c r="J94" s="166"/>
      <c r="K94" s="167"/>
      <c r="L94" s="156">
        <f t="shared" ref="L94:N94" ca="1" si="52">L95+L96</f>
        <v>214500</v>
      </c>
      <c r="M94" s="156">
        <f t="shared" ca="1" si="52"/>
        <v>221800</v>
      </c>
      <c r="N94" s="156">
        <f t="shared" ca="1" si="52"/>
        <v>185278.03999999998</v>
      </c>
      <c r="O94" s="155">
        <f t="shared" ref="O94:O96" ca="1" si="53">IF(L94&gt;0,N94*100/L94,0)</f>
        <v>86.376708624708613</v>
      </c>
      <c r="P94" s="155">
        <f t="shared" ref="P94:P96" ca="1" si="54">IF(M94&gt;0,N94*100/M94,0)</f>
        <v>83.533832281334526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214500</v>
      </c>
      <c r="M96" s="161">
        <f t="shared" ca="1" si="56"/>
        <v>221800</v>
      </c>
      <c r="N96" s="161">
        <f t="shared" ca="1" si="56"/>
        <v>185278.03999999998</v>
      </c>
      <c r="O96" s="160">
        <f t="shared" ca="1" si="53"/>
        <v>86.376708624708613</v>
      </c>
      <c r="P96" s="160">
        <f t="shared" ca="1" si="54"/>
        <v>83.533832281334526</v>
      </c>
    </row>
    <row r="97" spans="1:16" ht="21.75" customHeight="1" x14ac:dyDescent="0.3">
      <c r="A97" s="162"/>
      <c r="B97" s="163"/>
      <c r="C97" s="163" t="s">
        <v>16</v>
      </c>
      <c r="D97" s="574" t="s">
        <v>20</v>
      </c>
      <c r="E97" s="575"/>
      <c r="F97" s="575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122100</v>
      </c>
      <c r="M98" s="173">
        <f ca="1">IFERROR(__xludf.DUMMYFUNCTION("IMPORTRANGE(""https://docs.google.com/spreadsheets/d/1Yj_ptqi66GCucihVvJfMjLAmec39IyEx_6qawtMGysU/edit?usp=sharing"",""สบก!AR83"")"),129400)</f>
        <v>129400</v>
      </c>
      <c r="N98" s="174">
        <f ca="1">IFERROR(__xludf.DUMMYFUNCTION("IMPORTRANGE(""https://docs.google.com/spreadsheets/d/1Yj_ptqi66GCucihVvJfMjLAmec39IyEx_6qawtMGysU/edit?usp=sharing"",""สบก!AS83"")"),92878.04)</f>
        <v>92878.04</v>
      </c>
      <c r="O98" s="175">
        <f ca="1">IF(L98&gt;0,N98*100/L98,0)</f>
        <v>76.067190827190828</v>
      </c>
      <c r="P98" s="175">
        <f ca="1">IF(M98&gt;0,N98*100/M98,0)</f>
        <v>71.775919629057185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IFERROR(__xludf.DUMMYFUNCTION("IMPORTRANGE(""https://docs.google.com/spreadsheets/d/1Yj_ptqi66GCucihVvJfMjLAmec39IyEx_6qawtMGysU/edit?usp=sharing"",""สบก!AN83"")"),0)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IFERROR(__xludf.DUMMYFUNCTION("IMPORTRANGE(""https://docs.google.com/spreadsheets/d/1Yj_ptqi66GCucihVvJfMjLAmec39IyEx_6qawtMGysU/edit?usp=sharing"",""สบก!AO83"")"),122100)</f>
        <v>122100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6" t="s">
        <v>23</v>
      </c>
      <c r="E101" s="575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IFERROR(__xludf.DUMMYFUNCTION("IMPORTRANGE(""https://docs.google.com/spreadsheets/d/1Yj_ptqi66GCucihVvJfMjLAmec39IyEx_6qawtMGysU/edit?usp=sharing"",""สบก!AP83"")"),92400)</f>
        <v>92400</v>
      </c>
      <c r="M102" s="101">
        <f ca="1">L102</f>
        <v>92400</v>
      </c>
      <c r="N102" s="91">
        <f ca="1">IFERROR(__xludf.DUMMYFUNCTION("IMPORTRANGE(""https://docs.google.com/spreadsheets/d/1Yj_ptqi66GCucihVvJfMjLAmec39IyEx_6qawtMGysU/edit?usp=sharing"",""สบก!AT83"")"),92400)</f>
        <v>92400</v>
      </c>
      <c r="O102" s="101">
        <f ca="1">IF(L102&gt;0,N102*100/L102,0)</f>
        <v>100</v>
      </c>
      <c r="P102" s="101">
        <f ca="1">IF(M102&gt;0,N102*100/M102,0)</f>
        <v>100</v>
      </c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IFERROR(__xludf.DUMMYFUNCTION("IMPORTRANGE(""https://docs.google.com/spreadsheets/d/1IYY_tgx_IHuhSq3AJ5eI5OnqOPBNLWSHKh2a30DoXe8/edit?usp=sharing"",""ตรัง!J39"")"),0)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IFERROR(__xludf.DUMMYFUNCTION("IMPORTRANGE(""https://docs.google.com/spreadsheets/d/1IYY_tgx_IHuhSq3AJ5eI5OnqOPBNLWSHKh2a30DoXe8/edit?usp=sharing"",""ตรัง!J40"")"),1)</f>
        <v>1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IFERROR(__xludf.DUMMYFUNCTION("IMPORTRANGE(""https://docs.google.com/spreadsheets/d/1IYY_tgx_IHuhSq3AJ5eI5OnqOPBNLWSHKh2a30DoXe8/edit?usp=sharing"",""ตรัง!J41"")"),1)</f>
        <v>1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IFERROR(__xludf.DUMMYFUNCTION("IMPORTRANGE(""https://docs.google.com/spreadsheets/d/1IYY_tgx_IHuhSq3AJ5eI5OnqOPBNLWSHKh2a30DoXe8/edit?usp=sharing"",""ตรัง!J42"")"),1)</f>
        <v>1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IFERROR(__xludf.DUMMYFUNCTION("IMPORTRANGE(""https://docs.google.com/spreadsheets/d/1IYY_tgx_IHuhSq3AJ5eI5OnqOPBNLWSHKh2a30DoXe8/edit?usp=sharing"",""ตรัง!I43"")"),1)</f>
        <v>1</v>
      </c>
      <c r="J108" s="210">
        <f ca="1">IFERROR(__xludf.DUMMYFUNCTION("IMPORTRANGE(""https://docs.google.com/spreadsheets/d/1IYY_tgx_IHuhSq3AJ5eI5OnqOPBNLWSHKh2a30DoXe8/edit?usp=sharing"",""ตรัง!J43"")"),1)</f>
        <v>1</v>
      </c>
      <c r="K108" s="230">
        <f t="shared" ref="K108:K113" ca="1" si="57">IF(I108&gt;0,J108*100/I108,0)</f>
        <v>100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IFERROR(__xludf.DUMMYFUNCTION("IMPORTRANGE(""https://docs.google.com/spreadsheets/d/1IYY_tgx_IHuhSq3AJ5eI5OnqOPBNLWSHKh2a30DoXe8/edit?usp=sharing"",""ตรัง!I44"")"),4)</f>
        <v>4</v>
      </c>
      <c r="J109" s="210">
        <f ca="1">IFERROR(__xludf.DUMMYFUNCTION("IMPORTRANGE(""https://docs.google.com/spreadsheets/d/1IYY_tgx_IHuhSq3AJ5eI5OnqOPBNLWSHKh2a30DoXe8/edit?usp=sharing"",""ตรัง!J44"")"),4)</f>
        <v>4</v>
      </c>
      <c r="K109" s="230">
        <f t="shared" ca="1" si="57"/>
        <v>100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IFERROR(__xludf.DUMMYFUNCTION("IMPORTRANGE(""https://docs.google.com/spreadsheets/d/1IYY_tgx_IHuhSq3AJ5eI5OnqOPBNLWSHKh2a30DoXe8/edit?usp=sharing"",""ตรัง!I45"")"),4)</f>
        <v>4</v>
      </c>
      <c r="J110" s="210">
        <f ca="1">IFERROR(__xludf.DUMMYFUNCTION("IMPORTRANGE(""https://docs.google.com/spreadsheets/d/1IYY_tgx_IHuhSq3AJ5eI5OnqOPBNLWSHKh2a30DoXe8/edit?usp=sharing"",""ตรัง!J45"")"),4)</f>
        <v>4</v>
      </c>
      <c r="K110" s="230">
        <f t="shared" ca="1" si="57"/>
        <v>100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IFERROR(__xludf.DUMMYFUNCTION("IMPORTRANGE(""https://docs.google.com/spreadsheets/d/1IYY_tgx_IHuhSq3AJ5eI5OnqOPBNLWSHKh2a30DoXe8/edit?usp=sharing"",""ตรัง!I46"")"),4)</f>
        <v>4</v>
      </c>
      <c r="J111" s="210">
        <f ca="1">IFERROR(__xludf.DUMMYFUNCTION("IMPORTRANGE(""https://docs.google.com/spreadsheets/d/1IYY_tgx_IHuhSq3AJ5eI5OnqOPBNLWSHKh2a30DoXe8/edit?usp=sharing"",""ตรัง!J46"")"),4)</f>
        <v>4</v>
      </c>
      <c r="K111" s="230">
        <f t="shared" ca="1" si="57"/>
        <v>100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IFERROR(__xludf.DUMMYFUNCTION("IMPORTRANGE(""https://docs.google.com/spreadsheets/d/1IYY_tgx_IHuhSq3AJ5eI5OnqOPBNLWSHKh2a30DoXe8/edit?usp=sharing"",""ตรัง!I47"")"),4)</f>
        <v>4</v>
      </c>
      <c r="J112" s="210">
        <f ca="1">IFERROR(__xludf.DUMMYFUNCTION("IMPORTRANGE(""https://docs.google.com/spreadsheets/d/1IYY_tgx_IHuhSq3AJ5eI5OnqOPBNLWSHKh2a30DoXe8/edit?usp=sharing"",""ตรัง!J47"")"),4)</f>
        <v>4</v>
      </c>
      <c r="K112" s="230">
        <f t="shared" ca="1" si="57"/>
        <v>100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IFERROR(__xludf.DUMMYFUNCTION("IMPORTRANGE(""https://docs.google.com/spreadsheets/d/1IYY_tgx_IHuhSq3AJ5eI5OnqOPBNLWSHKh2a30DoXe8/edit?usp=sharing"",""ตรัง!I48"")"),1)</f>
        <v>1</v>
      </c>
      <c r="J113" s="210">
        <f ca="1">IFERROR(__xludf.DUMMYFUNCTION("IMPORTRANGE(""https://docs.google.com/spreadsheets/d/1IYY_tgx_IHuhSq3AJ5eI5OnqOPBNLWSHKh2a30DoXe8/edit?usp=sharing"",""ตรัง!J48"")"),1)</f>
        <v>1</v>
      </c>
      <c r="K113" s="230">
        <f t="shared" ca="1" si="57"/>
        <v>100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IFERROR(__xludf.DUMMYFUNCTION("IMPORTRANGE(""https://docs.google.com/spreadsheets/d/1IYY_tgx_IHuhSq3AJ5eI5OnqOPBNLWSHKh2a30DoXe8/edit?usp=sharing"",""ตรัง!J49"")"),0)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IFERROR(__xludf.DUMMYFUNCTION("IMPORTRANGE(""https://docs.google.com/spreadsheets/d/1IYY_tgx_IHuhSq3AJ5eI5OnqOPBNLWSHKh2a30DoXe8/edit?usp=sharing"",""ตรัง!J50"")"),0)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IFERROR(__xludf.DUMMYFUNCTION("IMPORTRANGE(""https://docs.google.com/spreadsheets/d/1IYY_tgx_IHuhSq3AJ5eI5OnqOPBNLWSHKh2a30DoXe8/edit?usp=sharing"",""ตรัง!I52"")"),0)</f>
        <v>0</v>
      </c>
      <c r="J117" s="146">
        <f ca="1">IFERROR(__xludf.DUMMYFUNCTION("IMPORTRANGE(""https://docs.google.com/spreadsheets/d/1IYY_tgx_IHuhSq3AJ5eI5OnqOPBNLWSHKh2a30DoXe8/edit?usp=sharing"",""ตรัง!J52"")"),0)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2" t="s">
        <v>17</v>
      </c>
      <c r="E118" s="573"/>
      <c r="F118" s="573"/>
      <c r="G118" s="573"/>
      <c r="H118" s="153" t="s">
        <v>12</v>
      </c>
      <c r="I118" s="166"/>
      <c r="J118" s="166"/>
      <c r="K118" s="167"/>
      <c r="L118" s="156">
        <f t="shared" ref="L118:N118" ca="1" si="58">L119+L120</f>
        <v>0</v>
      </c>
      <c r="M118" s="156">
        <f t="shared" ca="1" si="58"/>
        <v>0</v>
      </c>
      <c r="N118" s="156">
        <f t="shared" ca="1" si="58"/>
        <v>0</v>
      </c>
      <c r="O118" s="155">
        <f t="shared" ref="O118:O120" ca="1" si="59">IF(L118&gt;0,N118*100/L118,0)</f>
        <v>0</v>
      </c>
      <c r="P118" s="155">
        <f t="shared" ref="P118:P120" ca="1" si="60">IF(M118&gt;0,N118*100/M118,0)</f>
        <v>0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0</v>
      </c>
      <c r="M120" s="161">
        <f t="shared" ca="1" si="62"/>
        <v>0</v>
      </c>
      <c r="N120" s="161">
        <f t="shared" ca="1" si="62"/>
        <v>0</v>
      </c>
      <c r="O120" s="160">
        <f t="shared" ca="1" si="59"/>
        <v>0</v>
      </c>
      <c r="P120" s="160">
        <f t="shared" ca="1" si="60"/>
        <v>0</v>
      </c>
    </row>
    <row r="121" spans="1:16" ht="21.75" customHeight="1" x14ac:dyDescent="0.3">
      <c r="A121" s="162"/>
      <c r="B121" s="163"/>
      <c r="C121" s="163" t="s">
        <v>16</v>
      </c>
      <c r="D121" s="574" t="s">
        <v>20</v>
      </c>
      <c r="E121" s="575"/>
      <c r="F121" s="575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0</v>
      </c>
      <c r="M122" s="173">
        <f ca="1">IFERROR(__xludf.DUMMYFUNCTION("IMPORTRANGE(""https://docs.google.com/spreadsheets/d/1Yj_ptqi66GCucihVvJfMjLAmec39IyEx_6qawtMGysU/edit?usp=sharing"",""สบก!BA83"")"),0)</f>
        <v>0</v>
      </c>
      <c r="N122" s="174">
        <f ca="1">IFERROR(__xludf.DUMMYFUNCTION("IMPORTRANGE(""https://docs.google.com/spreadsheets/d/1Yj_ptqi66GCucihVvJfMjLAmec39IyEx_6qawtMGysU/edit?usp=sharing"",""สบก!BB83"")"),0)</f>
        <v>0</v>
      </c>
      <c r="O122" s="175">
        <f ca="1">IF(L122&gt;0,N122*100/L122,0)</f>
        <v>0</v>
      </c>
      <c r="P122" s="175">
        <f ca="1">IF(M122&gt;0,N122*100/M122,0)</f>
        <v>0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IFERROR(__xludf.DUMMYFUNCTION("IMPORTRANGE(""https://docs.google.com/spreadsheets/d/1Yj_ptqi66GCucihVvJfMjLAmec39IyEx_6qawtMGysU/edit?usp=sharing"",""สบก!AW83"")"),0)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IFERROR(__xludf.DUMMYFUNCTION("IMPORTRANGE(""https://docs.google.com/spreadsheets/d/1Yj_ptqi66GCucihVvJfMjLAmec39IyEx_6qawtMGysU/edit?usp=sharing"",""สบก!AX83"")"),0)</f>
        <v>0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6" t="s">
        <v>23</v>
      </c>
      <c r="E125" s="575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IFERROR(__xludf.DUMMYFUNCTION("IMPORTRANGE(""https://docs.google.com/spreadsheets/d/1Yj_ptqi66GCucihVvJfMjLAmec39IyEx_6qawtMGysU/edit?usp=sharing"",""สบก!AY83"")"),0)</f>
        <v>0</v>
      </c>
      <c r="M126" s="101"/>
      <c r="N126" s="91">
        <f ca="1">IFERROR(__xludf.DUMMYFUNCTION("IMPORTRANGE(""https://docs.google.com/spreadsheets/d/1Yj_ptqi66GCucihVvJfMjLAmec39IyEx_6qawtMGysU/edit?usp=sharing"",""สบก!BC83"")"),0)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265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IFERROR(__xludf.DUMMYFUNCTION("IMPORTRANGE(""https://docs.google.com/spreadsheets/d/1IYY_tgx_IHuhSq3AJ5eI5OnqOPBNLWSHKh2a30DoXe8/edit?usp=sharing"",""ตรัง!J58"")"),0)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IFERROR(__xludf.DUMMYFUNCTION("IMPORTRANGE(""https://docs.google.com/spreadsheets/d/1IYY_tgx_IHuhSq3AJ5eI5OnqOPBNLWSHKh2a30DoXe8/edit?usp=sharing"",""ตรัง!J59"")"),0)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IFERROR(__xludf.DUMMYFUNCTION("IMPORTRANGE(""https://docs.google.com/spreadsheets/d/1IYY_tgx_IHuhSq3AJ5eI5OnqOPBNLWSHKh2a30DoXe8/edit?usp=sharing"",""ตรัง!J60"")"),0)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IFERROR(__xludf.DUMMYFUNCTION("IMPORTRANGE(""https://docs.google.com/spreadsheets/d/1IYY_tgx_IHuhSq3AJ5eI5OnqOPBNLWSHKh2a30DoXe8/edit?usp=sharing"",""ตรัง!J61"")"),0)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IFERROR(__xludf.DUMMYFUNCTION("IMPORTRANGE(""https://docs.google.com/spreadsheets/d/1IYY_tgx_IHuhSq3AJ5eI5OnqOPBNLWSHKh2a30DoXe8/edit?usp=sharing"",""ตรัง!I62"")"),0)</f>
        <v>0</v>
      </c>
      <c r="J132" s="210">
        <f ca="1">IFERROR(__xludf.DUMMYFUNCTION("IMPORTRANGE(""https://docs.google.com/spreadsheets/d/1IYY_tgx_IHuhSq3AJ5eI5OnqOPBNLWSHKh2a30DoXe8/edit?usp=sharing"",""ตรัง!J62"")"),0)</f>
        <v>0</v>
      </c>
      <c r="K132" s="230">
        <f t="shared" ref="K132:K133" ca="1" si="63">IF(I132&gt;0,J132*100/I132,0)</f>
        <v>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IFERROR(__xludf.DUMMYFUNCTION("IMPORTRANGE(""https://docs.google.com/spreadsheets/d/1IYY_tgx_IHuhSq3AJ5eI5OnqOPBNLWSHKh2a30DoXe8/edit?usp=sharing"",""ตรัง!I63"")"),0)</f>
        <v>0</v>
      </c>
      <c r="J133" s="210">
        <f ca="1">IFERROR(__xludf.DUMMYFUNCTION("IMPORTRANGE(""https://docs.google.com/spreadsheets/d/1IYY_tgx_IHuhSq3AJ5eI5OnqOPBNLWSHKh2a30DoXe8/edit?usp=sharing"",""ตรัง!J63"")"),0)</f>
        <v>0</v>
      </c>
      <c r="K133" s="230">
        <f t="shared" ca="1" si="63"/>
        <v>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IFERROR(__xludf.DUMMYFUNCTION("IMPORTRANGE(""https://docs.google.com/spreadsheets/d/1IYY_tgx_IHuhSq3AJ5eI5OnqOPBNLWSHKh2a30DoXe8/edit?usp=sharing"",""ตรัง!J64"")"),0)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IFERROR(__xludf.DUMMYFUNCTION("IMPORTRANGE(""https://docs.google.com/spreadsheets/d/1IYY_tgx_IHuhSq3AJ5eI5OnqOPBNLWSHKh2a30DoXe8/edit?usp=sharing"",""ตรัง!J65"")"),0)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IFERROR(__xludf.DUMMYFUNCTION("IMPORTRANGE(""https://docs.google.com/spreadsheets/d/1IYY_tgx_IHuhSq3AJ5eI5OnqOPBNLWSHKh2a30DoXe8/edit?usp=sharing"",""ตรัง!I68"")"),15)</f>
        <v>15</v>
      </c>
      <c r="J138" s="273">
        <f ca="1">IFERROR(__xludf.DUMMYFUNCTION("IMPORTRANGE(""https://docs.google.com/spreadsheets/d/1IYY_tgx_IHuhSq3AJ5eI5OnqOPBNLWSHKh2a30DoXe8/edit?usp=sharing"",""ตรัง!J68"")"),15)</f>
        <v>15</v>
      </c>
      <c r="K138" s="274">
        <f ca="1">IF(I138&gt;0,J138*100/I138,0)</f>
        <v>100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2" t="s">
        <v>17</v>
      </c>
      <c r="E140" s="573"/>
      <c r="F140" s="573"/>
      <c r="G140" s="573"/>
      <c r="H140" s="153" t="s">
        <v>12</v>
      </c>
      <c r="I140" s="166"/>
      <c r="J140" s="166"/>
      <c r="K140" s="167"/>
      <c r="L140" s="156">
        <f t="shared" ref="L140:N140" ca="1" si="64">L141+L142</f>
        <v>397400</v>
      </c>
      <c r="M140" s="156">
        <f t="shared" ca="1" si="64"/>
        <v>397400</v>
      </c>
      <c r="N140" s="156">
        <f t="shared" ca="1" si="64"/>
        <v>359829.2</v>
      </c>
      <c r="O140" s="155">
        <f t="shared" ref="O140:O142" ca="1" si="65">IF(L140&gt;0,N140*100/L140,0)</f>
        <v>90.545848012078508</v>
      </c>
      <c r="P140" s="155">
        <f t="shared" ref="P140:P142" ca="1" si="66">IF(M140&gt;0,N140*100/M140,0)</f>
        <v>90.545848012078508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397400</v>
      </c>
      <c r="M142" s="161">
        <f t="shared" ca="1" si="68"/>
        <v>397400</v>
      </c>
      <c r="N142" s="161">
        <f t="shared" ca="1" si="68"/>
        <v>359829.2</v>
      </c>
      <c r="O142" s="160">
        <f t="shared" ca="1" si="65"/>
        <v>90.545848012078508</v>
      </c>
      <c r="P142" s="160">
        <f t="shared" ca="1" si="66"/>
        <v>90.545848012078508</v>
      </c>
    </row>
    <row r="143" spans="1:16" ht="21.75" customHeight="1" x14ac:dyDescent="0.3">
      <c r="A143" s="162"/>
      <c r="B143" s="163"/>
      <c r="C143" s="163" t="s">
        <v>16</v>
      </c>
      <c r="D143" s="574" t="s">
        <v>20</v>
      </c>
      <c r="E143" s="575"/>
      <c r="F143" s="575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397400</v>
      </c>
      <c r="M144" s="173">
        <f ca="1">IFERROR(__xludf.DUMMYFUNCTION("IMPORTRANGE(""https://docs.google.com/spreadsheets/d/1Yj_ptqi66GCucihVvJfMjLAmec39IyEx_6qawtMGysU/edit?usp=sharing"",""สบก!BJ83"")"),397400)</f>
        <v>397400</v>
      </c>
      <c r="N144" s="174">
        <f ca="1">IFERROR(__xludf.DUMMYFUNCTION("IMPORTRANGE(""https://docs.google.com/spreadsheets/d/1Yj_ptqi66GCucihVvJfMjLAmec39IyEx_6qawtMGysU/edit?usp=sharing"",""สบก!BK83"")"),359829.2)</f>
        <v>359829.2</v>
      </c>
      <c r="O144" s="175">
        <f ca="1">IF(L144&gt;0,N144*100/L144,0)</f>
        <v>90.545848012078508</v>
      </c>
      <c r="P144" s="175">
        <f ca="1">IF(M144&gt;0,N144*100/M144,0)</f>
        <v>90.545848012078508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IFERROR(__xludf.DUMMYFUNCTION("IMPORTRANGE(""https://docs.google.com/spreadsheets/d/1Yj_ptqi66GCucihVvJfMjLAmec39IyEx_6qawtMGysU/edit?usp=sharing"",""สบก!BF83"")"),331400)</f>
        <v>331400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IFERROR(__xludf.DUMMYFUNCTION("IMPORTRANGE(""https://docs.google.com/spreadsheets/d/1Yj_ptqi66GCucihVvJfMjLAmec39IyEx_6qawtMGysU/edit?usp=sharing"",""สบก!BG83"")"),66000)</f>
        <v>66000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6" t="s">
        <v>23</v>
      </c>
      <c r="E147" s="575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IFERROR(__xludf.DUMMYFUNCTION("IMPORTRANGE(""https://docs.google.com/spreadsheets/d/1Yj_ptqi66GCucihVvJfMjLAmec39IyEx_6qawtMGysU/edit?usp=sharing"",""สบก!BH83"")"),0)</f>
        <v>0</v>
      </c>
      <c r="M148" s="101"/>
      <c r="N148" s="91">
        <f ca="1">IFERROR(__xludf.DUMMYFUNCTION("IMPORTRANGE(""https://docs.google.com/spreadsheets/d/1Yj_ptqi66GCucihVvJfMjLAmec39IyEx_6qawtMGysU/edit?usp=sharing"",""สบก!BL83"")"),0)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IFERROR(__xludf.DUMMYFUNCTION("IMPORTRANGE(""https://docs.google.com/spreadsheets/d/1IYY_tgx_IHuhSq3AJ5eI5OnqOPBNLWSHKh2a30DoXe8/edit?usp=sharing"",""ตรัง!I74"")"),4)</f>
        <v>4</v>
      </c>
      <c r="J149" s="281">
        <f ca="1">IFERROR(__xludf.DUMMYFUNCTION("IMPORTRANGE(""https://docs.google.com/spreadsheets/d/1IYY_tgx_IHuhSq3AJ5eI5OnqOPBNLWSHKh2a30DoXe8/edit?usp=sharing"",""ตรัง!J74"")"),4)</f>
        <v>4</v>
      </c>
      <c r="K149" s="282">
        <f ca="1">IF(I149&gt;0,J149*100/I149,0)</f>
        <v>100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IFERROR(__xludf.DUMMYFUNCTION("IMPORTRANGE(""https://docs.google.com/spreadsheets/d/1IYY_tgx_IHuhSq3AJ5eI5OnqOPBNLWSHKh2a30DoXe8/edit?usp=sharing"",""ตรัง!J79"")"),0)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IFERROR(__xludf.DUMMYFUNCTION("IMPORTRANGE(""https://docs.google.com/spreadsheets/d/1IYY_tgx_IHuhSq3AJ5eI5OnqOPBNLWSHKh2a30DoXe8/edit?usp=sharing"",""ตรัง!J80"")"),1)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IFERROR(__xludf.DUMMYFUNCTION("IMPORTRANGE(""https://docs.google.com/spreadsheets/d/1IYY_tgx_IHuhSq3AJ5eI5OnqOPBNLWSHKh2a30DoXe8/edit?usp=sharing"",""ตรัง!J81"")"),1)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IFERROR(__xludf.DUMMYFUNCTION("IMPORTRANGE(""https://docs.google.com/spreadsheets/d/1IYY_tgx_IHuhSq3AJ5eI5OnqOPBNLWSHKh2a30DoXe8/edit?usp=sharing"",""ตรัง!J82"")"),1)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IFERROR(__xludf.DUMMYFUNCTION("IMPORTRANGE(""https://docs.google.com/spreadsheets/d/1IYY_tgx_IHuhSq3AJ5eI5OnqOPBNLWSHKh2a30DoXe8/edit?usp=sharing"",""ตรัง!I83"")"),4)</f>
        <v>4</v>
      </c>
      <c r="J158" s="195">
        <f ca="1">IFERROR(__xludf.DUMMYFUNCTION("IMPORTRANGE(""https://docs.google.com/spreadsheets/d/1IYY_tgx_IHuhSq3AJ5eI5OnqOPBNLWSHKh2a30DoXe8/edit?usp=sharing"",""ตรัง!J83"")"),4)</f>
        <v>4</v>
      </c>
      <c r="K158" s="167">
        <f ca="1">IF(I158&gt;0,J158*100/I158,0)</f>
        <v>100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IFERROR(__xludf.DUMMYFUNCTION("IMPORTRANGE(""https://docs.google.com/spreadsheets/d/1IYY_tgx_IHuhSq3AJ5eI5OnqOPBNLWSHKh2a30DoXe8/edit?usp=sharing"",""ตรัง!J84"")"),120)</f>
        <v>120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IFERROR(__xludf.DUMMYFUNCTION("IMPORTRANGE(""https://docs.google.com/spreadsheets/d/1IYY_tgx_IHuhSq3AJ5eI5OnqOPBNLWSHKh2a30DoXe8/edit?usp=sharing"",""ตรัง!J85"")"),120)</f>
        <v>120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IFERROR(__xludf.DUMMYFUNCTION("IMPORTRANGE(""https://docs.google.com/spreadsheets/d/1IYY_tgx_IHuhSq3AJ5eI5OnqOPBNLWSHKh2a30DoXe8/edit?usp=sharing"",""ตรัง!J86"")"),0)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IFERROR(__xludf.DUMMYFUNCTION("IMPORTRANGE(""https://docs.google.com/spreadsheets/d/1IYY_tgx_IHuhSq3AJ5eI5OnqOPBNLWSHKh2a30DoXe8/edit?usp=sharing"",""ตรัง!J87"")"),0)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IFERROR(__xludf.DUMMYFUNCTION("IMPORTRANGE(""https://docs.google.com/spreadsheets/d/1IYY_tgx_IHuhSq3AJ5eI5OnqOPBNLWSHKh2a30DoXe8/edit?usp=sharing"",""ตรัง!J88"")"),0)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IFERROR(__xludf.DUMMYFUNCTION("IMPORTRANGE(""https://docs.google.com/spreadsheets/d/1IYY_tgx_IHuhSq3AJ5eI5OnqOPBNLWSHKh2a30DoXe8/edit?usp=sharing"",""ตรัง!I89"")"),2)</f>
        <v>2</v>
      </c>
      <c r="J164" s="290">
        <f ca="1">IFERROR(__xludf.DUMMYFUNCTION("IMPORTRANGE(""https://docs.google.com/spreadsheets/d/1IYY_tgx_IHuhSq3AJ5eI5OnqOPBNLWSHKh2a30DoXe8/edit?usp=sharing"",""ตรัง!J89"")"),2)</f>
        <v>2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IFERROR(__xludf.DUMMYFUNCTION("IMPORTRANGE(""https://docs.google.com/spreadsheets/d/1IYY_tgx_IHuhSq3AJ5eI5OnqOPBNLWSHKh2a30DoXe8/edit?usp=sharing"",""ตรัง!J94"")"),0)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IFERROR(__xludf.DUMMYFUNCTION("IMPORTRANGE(""https://docs.google.com/spreadsheets/d/1IYY_tgx_IHuhSq3AJ5eI5OnqOPBNLWSHKh2a30DoXe8/edit?usp=sharing"",""ตรัง!J95"")"),1)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IFERROR(__xludf.DUMMYFUNCTION("IMPORTRANGE(""https://docs.google.com/spreadsheets/d/1IYY_tgx_IHuhSq3AJ5eI5OnqOPBNLWSHKh2a30DoXe8/edit?usp=sharing"",""ตรัง!J96"")"),1)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IFERROR(__xludf.DUMMYFUNCTION("IMPORTRANGE(""https://docs.google.com/spreadsheets/d/1IYY_tgx_IHuhSq3AJ5eI5OnqOPBNLWSHKh2a30DoXe8/edit?usp=sharing"",""ตรัง!J97"")"),1)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IFERROR(__xludf.DUMMYFUNCTION("IMPORTRANGE(""https://docs.google.com/spreadsheets/d/1IYY_tgx_IHuhSq3AJ5eI5OnqOPBNLWSHKh2a30DoXe8/edit?usp=sharing"",""ตรัง!I98"")"),2)</f>
        <v>2</v>
      </c>
      <c r="J173" s="195">
        <f ca="1">IFERROR(__xludf.DUMMYFUNCTION("IMPORTRANGE(""https://docs.google.com/spreadsheets/d/1IYY_tgx_IHuhSq3AJ5eI5OnqOPBNLWSHKh2a30DoXe8/edit?usp=sharing"",""ตรัง!J98"")"),2)</f>
        <v>2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IFERROR(__xludf.DUMMYFUNCTION("IMPORTRANGE(""https://docs.google.com/spreadsheets/d/1IYY_tgx_IHuhSq3AJ5eI5OnqOPBNLWSHKh2a30DoXe8/edit?usp=sharing"",""ตรัง!J99"")"),0)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IFERROR(__xludf.DUMMYFUNCTION("IMPORTRANGE(""https://docs.google.com/spreadsheets/d/1IYY_tgx_IHuhSq3AJ5eI5OnqOPBNLWSHKh2a30DoXe8/edit?usp=sharing"",""ตรัง!J100"")"),0)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IFERROR(__xludf.DUMMYFUNCTION("IMPORTRANGE(""https://docs.google.com/spreadsheets/d/1IYY_tgx_IHuhSq3AJ5eI5OnqOPBNLWSHKh2a30DoXe8/edit?usp=sharing"",""ตรัง!I101"")"),0)</f>
        <v>0</v>
      </c>
      <c r="J176" s="290">
        <f ca="1">IFERROR(__xludf.DUMMYFUNCTION("IMPORTRANGE(""https://docs.google.com/spreadsheets/d/1IYY_tgx_IHuhSq3AJ5eI5OnqOPBNLWSHKh2a30DoXe8/edit?usp=sharing"",""ตรัง!J101"")"),0)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IFERROR(__xludf.DUMMYFUNCTION("IMPORTRANGE(""https://docs.google.com/spreadsheets/d/1IYY_tgx_IHuhSq3AJ5eI5OnqOPBNLWSHKh2a30DoXe8/edit?usp=sharing"",""ตรัง!J106"")"),0)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IFERROR(__xludf.DUMMYFUNCTION("IMPORTRANGE(""https://docs.google.com/spreadsheets/d/1IYY_tgx_IHuhSq3AJ5eI5OnqOPBNLWSHKh2a30DoXe8/edit?usp=sharing"",""ตรัง!J107"")"),0)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IFERROR(__xludf.DUMMYFUNCTION("IMPORTRANGE(""https://docs.google.com/spreadsheets/d/1IYY_tgx_IHuhSq3AJ5eI5OnqOPBNLWSHKh2a30DoXe8/edit?usp=sharing"",""ตรัง!J108"")"),0)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IFERROR(__xludf.DUMMYFUNCTION("IMPORTRANGE(""https://docs.google.com/spreadsheets/d/1IYY_tgx_IHuhSq3AJ5eI5OnqOPBNLWSHKh2a30DoXe8/edit?usp=sharing"",""ตรัง!J109"")"),0)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IFERROR(__xludf.DUMMYFUNCTION("IMPORTRANGE(""https://docs.google.com/spreadsheets/d/1IYY_tgx_IHuhSq3AJ5eI5OnqOPBNLWSHKh2a30DoXe8/edit?usp=sharing"",""ตรัง!I110"")"),0)</f>
        <v>0</v>
      </c>
      <c r="J185" s="210">
        <f ca="1">IFERROR(__xludf.DUMMYFUNCTION("IMPORTRANGE(""https://docs.google.com/spreadsheets/d/1IYY_tgx_IHuhSq3AJ5eI5OnqOPBNLWSHKh2a30DoXe8/edit?usp=sharing"",""ตรัง!J110"")"),0)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IFERROR(__xludf.DUMMYFUNCTION("IMPORTRANGE(""https://docs.google.com/spreadsheets/d/1IYY_tgx_IHuhSq3AJ5eI5OnqOPBNLWSHKh2a30DoXe8/edit?usp=sharing"",""ตรัง!I111"")"),0)</f>
        <v>0</v>
      </c>
      <c r="J186" s="210">
        <f ca="1">IFERROR(__xludf.DUMMYFUNCTION("IMPORTRANGE(""https://docs.google.com/spreadsheets/d/1IYY_tgx_IHuhSq3AJ5eI5OnqOPBNLWSHKh2a30DoXe8/edit?usp=sharing"",""ตรัง!J111"")"),0)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IFERROR(__xludf.DUMMYFUNCTION("IMPORTRANGE(""https://docs.google.com/spreadsheets/d/1IYY_tgx_IHuhSq3AJ5eI5OnqOPBNLWSHKh2a30DoXe8/edit?usp=sharing"",""ตรัง!J112"")"),0)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IFERROR(__xludf.DUMMYFUNCTION("IMPORTRANGE(""https://docs.google.com/spreadsheets/d/1IYY_tgx_IHuhSq3AJ5eI5OnqOPBNLWSHKh2a30DoXe8/edit?usp=sharing"",""ตรัง!J113"")"),0)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IFERROR(__xludf.DUMMYFUNCTION("IMPORTRANGE(""https://docs.google.com/spreadsheets/d/1IYY_tgx_IHuhSq3AJ5eI5OnqOPBNLWSHKh2a30DoXe8/edit?usp=sharing"",""ตรัง!I114"")"),10000)</f>
        <v>10000</v>
      </c>
      <c r="J189" s="290">
        <f ca="1">IFERROR(__xludf.DUMMYFUNCTION("IMPORTRANGE(""https://docs.google.com/spreadsheets/d/1IYY_tgx_IHuhSq3AJ5eI5OnqOPBNLWSHKh2a30DoXe8/edit?usp=sharing"",""ตรัง!J114"")"),25000)</f>
        <v>25000</v>
      </c>
      <c r="K189" s="291">
        <f ca="1">IF(I189&gt;0,J189*100/I189,0)</f>
        <v>250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IFERROR(__xludf.DUMMYFUNCTION("IMPORTRANGE(""https://docs.google.com/spreadsheets/d/1IYY_tgx_IHuhSq3AJ5eI5OnqOPBNLWSHKh2a30DoXe8/edit?usp=sharing"",""ตรัง!J119"")"),0)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IFERROR(__xludf.DUMMYFUNCTION("IMPORTRANGE(""https://docs.google.com/spreadsheets/d/1IYY_tgx_IHuhSq3AJ5eI5OnqOPBNLWSHKh2a30DoXe8/edit?usp=sharing"",""ตรัง!J120"")"),1)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IFERROR(__xludf.DUMMYFUNCTION("IMPORTRANGE(""https://docs.google.com/spreadsheets/d/1IYY_tgx_IHuhSq3AJ5eI5OnqOPBNLWSHKh2a30DoXe8/edit?usp=sharing"",""ตรัง!J121"")"),1)</f>
        <v>1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IFERROR(__xludf.DUMMYFUNCTION("IMPORTRANGE(""https://docs.google.com/spreadsheets/d/1IYY_tgx_IHuhSq3AJ5eI5OnqOPBNLWSHKh2a30DoXe8/edit?usp=sharing"",""ตรัง!J122"")"),1)</f>
        <v>1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IFERROR(__xludf.DUMMYFUNCTION("IMPORTRANGE(""https://docs.google.com/spreadsheets/d/1IYY_tgx_IHuhSq3AJ5eI5OnqOPBNLWSHKh2a30DoXe8/edit?usp=sharing"",""ตรัง!I124"")"),10000)</f>
        <v>10000</v>
      </c>
      <c r="J199" s="195">
        <f ca="1">IFERROR(__xludf.DUMMYFUNCTION("IMPORTRANGE(""https://docs.google.com/spreadsheets/d/1IYY_tgx_IHuhSq3AJ5eI5OnqOPBNLWSHKh2a30DoXe8/edit?usp=sharing"",""ตรัง!J124"")"),10000)</f>
        <v>10000</v>
      </c>
      <c r="K199" s="167">
        <f t="shared" ref="K199:K201" ca="1" si="70">IF(I199&gt;0,J199*100/I199,0)</f>
        <v>100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IFERROR(__xludf.DUMMYFUNCTION("IMPORTRANGE(""https://docs.google.com/spreadsheets/d/1IYY_tgx_IHuhSq3AJ5eI5OnqOPBNLWSHKh2a30DoXe8/edit?usp=sharing"",""ตรัง!I125"")"),10000)</f>
        <v>10000</v>
      </c>
      <c r="J200" s="195">
        <f ca="1">IFERROR(__xludf.DUMMYFUNCTION("IMPORTRANGE(""https://docs.google.com/spreadsheets/d/1IYY_tgx_IHuhSq3AJ5eI5OnqOPBNLWSHKh2a30DoXe8/edit?usp=sharing"",""ตรัง!J125"")"),25000)</f>
        <v>25000</v>
      </c>
      <c r="K200" s="167">
        <f t="shared" ca="1" si="70"/>
        <v>250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IFERROR(__xludf.DUMMYFUNCTION("IMPORTRANGE(""https://docs.google.com/spreadsheets/d/1IYY_tgx_IHuhSq3AJ5eI5OnqOPBNLWSHKh2a30DoXe8/edit?usp=sharing"",""ตรัง!I126"")"),15)</f>
        <v>15</v>
      </c>
      <c r="J201" s="195">
        <f ca="1">IFERROR(__xludf.DUMMYFUNCTION("IMPORTRANGE(""https://docs.google.com/spreadsheets/d/1IYY_tgx_IHuhSq3AJ5eI5OnqOPBNLWSHKh2a30DoXe8/edit?usp=sharing"",""ตรัง!J126"")"),15)</f>
        <v>15</v>
      </c>
      <c r="K201" s="167">
        <f t="shared" ca="1" si="70"/>
        <v>100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IFERROR(__xludf.DUMMYFUNCTION("IMPORTRANGE(""https://docs.google.com/spreadsheets/d/1IYY_tgx_IHuhSq3AJ5eI5OnqOPBNLWSHKh2a30DoXe8/edit?usp=sharing"",""ตรัง!J127"")"),0)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IFERROR(__xludf.DUMMYFUNCTION("IMPORTRANGE(""https://docs.google.com/spreadsheets/d/1IYY_tgx_IHuhSq3AJ5eI5OnqOPBNLWSHKh2a30DoXe8/edit?usp=sharing"",""ตรัง!J128"")"),0)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IFERROR(__xludf.DUMMYFUNCTION("IMPORTRANGE(""https://docs.google.com/spreadsheets/d/1IYY_tgx_IHuhSq3AJ5eI5OnqOPBNLWSHKh2a30DoXe8/edit?usp=sharing"",""ตรัง!I129"")"),0)</f>
        <v>0</v>
      </c>
      <c r="J204" s="290">
        <f ca="1">IFERROR(__xludf.DUMMYFUNCTION("IMPORTRANGE(""https://docs.google.com/spreadsheets/d/1IYY_tgx_IHuhSq3AJ5eI5OnqOPBNLWSHKh2a30DoXe8/edit?usp=sharing"",""ตรัง!J129"")"),0)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IFERROR(__xludf.DUMMYFUNCTION("IMPORTRANGE(""https://docs.google.com/spreadsheets/d/1IYY_tgx_IHuhSq3AJ5eI5OnqOPBNLWSHKh2a30DoXe8/edit?usp=sharing"",""ตรัง!J134"")"),0)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IFERROR(__xludf.DUMMYFUNCTION("IMPORTRANGE(""https://docs.google.com/spreadsheets/d/1IYY_tgx_IHuhSq3AJ5eI5OnqOPBNLWSHKh2a30DoXe8/edit?usp=sharing"",""ตรัง!J135"")"),0)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IFERROR(__xludf.DUMMYFUNCTION("IMPORTRANGE(""https://docs.google.com/spreadsheets/d/1IYY_tgx_IHuhSq3AJ5eI5OnqOPBNLWSHKh2a30DoXe8/edit?usp=sharing"",""ตรัง!J136"")"),0)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IFERROR(__xludf.DUMMYFUNCTION("IMPORTRANGE(""https://docs.google.com/spreadsheets/d/1IYY_tgx_IHuhSq3AJ5eI5OnqOPBNLWSHKh2a30DoXe8/edit?usp=sharing"",""ตรัง!J137"")"),0)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IFERROR(__xludf.DUMMYFUNCTION("IMPORTRANGE(""https://docs.google.com/spreadsheets/d/1IYY_tgx_IHuhSq3AJ5eI5OnqOPBNLWSHKh2a30DoXe8/edit?usp=sharing"",""ตรัง!I138"")"),0)</f>
        <v>0</v>
      </c>
      <c r="J213" s="210">
        <f ca="1">IFERROR(__xludf.DUMMYFUNCTION("IMPORTRANGE(""https://docs.google.com/spreadsheets/d/1IYY_tgx_IHuhSq3AJ5eI5OnqOPBNLWSHKh2a30DoXe8/edit?usp=sharing"",""ตรัง!J138"")"),0)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IFERROR(__xludf.DUMMYFUNCTION("IMPORTRANGE(""https://docs.google.com/spreadsheets/d/1IYY_tgx_IHuhSq3AJ5eI5OnqOPBNLWSHKh2a30DoXe8/edit?usp=sharing"",""ตรัง!I140"")"),0)</f>
        <v>0</v>
      </c>
      <c r="J215" s="210">
        <f ca="1">IFERROR(__xludf.DUMMYFUNCTION("IMPORTRANGE(""https://docs.google.com/spreadsheets/d/1IYY_tgx_IHuhSq3AJ5eI5OnqOPBNLWSHKh2a30DoXe8/edit?usp=sharing"",""ตรัง!J140"")"),0)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IFERROR(__xludf.DUMMYFUNCTION("IMPORTRANGE(""https://docs.google.com/spreadsheets/d/1IYY_tgx_IHuhSq3AJ5eI5OnqOPBNLWSHKh2a30DoXe8/edit?usp=sharing"",""ตรัง!I141"")"),0)</f>
        <v>0</v>
      </c>
      <c r="J216" s="210">
        <f ca="1">IFERROR(__xludf.DUMMYFUNCTION("IMPORTRANGE(""https://docs.google.com/spreadsheets/d/1IYY_tgx_IHuhSq3AJ5eI5OnqOPBNLWSHKh2a30DoXe8/edit?usp=sharing"",""ตรัง!J141"")"),0)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IFERROR(__xludf.DUMMYFUNCTION("IMPORTRANGE(""https://docs.google.com/spreadsheets/d/1IYY_tgx_IHuhSq3AJ5eI5OnqOPBNLWSHKh2a30DoXe8/edit?usp=sharing"",""ตรัง!J142"")"),0)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IFERROR(__xludf.DUMMYFUNCTION("IMPORTRANGE(""https://docs.google.com/spreadsheets/d/1IYY_tgx_IHuhSq3AJ5eI5OnqOPBNLWSHKh2a30DoXe8/edit?usp=sharing"",""ตรัง!J143"")"),0)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IFERROR(__xludf.DUMMYFUNCTION("IMPORTRANGE(""https://docs.google.com/spreadsheets/d/1IYY_tgx_IHuhSq3AJ5eI5OnqOPBNLWSHKh2a30DoXe8/edit?usp=sharing"",""ตรัง!I144"")"),15)</f>
        <v>15</v>
      </c>
      <c r="J219" s="273">
        <f ca="1">IFERROR(__xludf.DUMMYFUNCTION("IMPORTRANGE(""https://docs.google.com/spreadsheets/d/1IYY_tgx_IHuhSq3AJ5eI5OnqOPBNLWSHKh2a30DoXe8/edit?usp=sharing"",""ตรัง!J144"")"),15)</f>
        <v>15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2" t="s">
        <v>17</v>
      </c>
      <c r="E220" s="573"/>
      <c r="F220" s="573"/>
      <c r="G220" s="573"/>
      <c r="H220" s="153" t="s">
        <v>12</v>
      </c>
      <c r="I220" s="166"/>
      <c r="J220" s="166"/>
      <c r="K220" s="167"/>
      <c r="L220" s="156">
        <f t="shared" ref="L220:N220" ca="1" si="72">L221+L222</f>
        <v>21125</v>
      </c>
      <c r="M220" s="156">
        <f t="shared" ca="1" si="72"/>
        <v>56125</v>
      </c>
      <c r="N220" s="156">
        <f t="shared" ca="1" si="72"/>
        <v>32525</v>
      </c>
      <c r="O220" s="155">
        <f t="shared" ref="O220:O222" ca="1" si="73">IF(L220&gt;0,N220*100/L220,0)</f>
        <v>153.96449704142012</v>
      </c>
      <c r="P220" s="155">
        <f t="shared" ref="P220:P222" ca="1" si="74">IF(M220&gt;0,N220*100/M220,0)</f>
        <v>57.951002227171493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21125</v>
      </c>
      <c r="M222" s="161">
        <f t="shared" ca="1" si="76"/>
        <v>56125</v>
      </c>
      <c r="N222" s="161">
        <f t="shared" ca="1" si="76"/>
        <v>32525</v>
      </c>
      <c r="O222" s="160">
        <f t="shared" ca="1" si="73"/>
        <v>153.96449704142012</v>
      </c>
      <c r="P222" s="160">
        <f t="shared" ca="1" si="74"/>
        <v>57.951002227171493</v>
      </c>
    </row>
    <row r="223" spans="1:16" ht="21.75" customHeight="1" x14ac:dyDescent="0.3">
      <c r="A223" s="162"/>
      <c r="B223" s="163"/>
      <c r="C223" s="163" t="s">
        <v>16</v>
      </c>
      <c r="D223" s="574" t="s">
        <v>20</v>
      </c>
      <c r="E223" s="575"/>
      <c r="F223" s="575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21125</v>
      </c>
      <c r="M224" s="173">
        <f ca="1">IFERROR(__xludf.DUMMYFUNCTION("IMPORTRANGE(""https://docs.google.com/spreadsheets/d/1Yj_ptqi66GCucihVvJfMjLAmec39IyEx_6qawtMGysU/edit?usp=sharing"",""สบก!BS83"")"),56125)</f>
        <v>56125</v>
      </c>
      <c r="N224" s="174">
        <f ca="1">IFERROR(__xludf.DUMMYFUNCTION("IMPORTRANGE(""https://docs.google.com/spreadsheets/d/1Yj_ptqi66GCucihVvJfMjLAmec39IyEx_6qawtMGysU/edit?usp=sharing"",""สบก!BT83"")"),32525)</f>
        <v>32525</v>
      </c>
      <c r="O224" s="175">
        <f ca="1">IF(L224&gt;0,N224*100/L224,0)</f>
        <v>153.96449704142012</v>
      </c>
      <c r="P224" s="175">
        <f ca="1">IF(M224&gt;0,N224*100/M224,0)</f>
        <v>57.951002227171493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IFERROR(__xludf.DUMMYFUNCTION("IMPORTRANGE(""https://docs.google.com/spreadsheets/d/1Yj_ptqi66GCucihVvJfMjLAmec39IyEx_6qawtMGysU/edit?usp=sharing"",""สบก!BO83"")"),0)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IFERROR(__xludf.DUMMYFUNCTION("IMPORTRANGE(""https://docs.google.com/spreadsheets/d/1Yj_ptqi66GCucihVvJfMjLAmec39IyEx_6qawtMGysU/edit?usp=sharing"",""สบก!BP83"")"),21125)</f>
        <v>21125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6" t="s">
        <v>23</v>
      </c>
      <c r="E227" s="575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IFERROR(__xludf.DUMMYFUNCTION("IMPORTRANGE(""https://docs.google.com/spreadsheets/d/1Yj_ptqi66GCucihVvJfMjLAmec39IyEx_6qawtMGysU/edit?usp=sharing"",""สบก!BQ83"")"),0)</f>
        <v>0</v>
      </c>
      <c r="M228" s="101"/>
      <c r="N228" s="91">
        <f ca="1">IFERROR(__xludf.DUMMYFUNCTION("IMPORTRANGE(""https://docs.google.com/spreadsheets/d/1Yj_ptqi66GCucihVvJfMjLAmec39IyEx_6qawtMGysU/edit?usp=sharing"",""สบก!BU83"")"),0)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IFERROR(__xludf.DUMMYFUNCTION("IMPORTRANGE(""https://docs.google.com/spreadsheets/d/1IYY_tgx_IHuhSq3AJ5eI5OnqOPBNLWSHKh2a30DoXe8/edit?usp=sharing"",""ตรัง!I149"")"),15)</f>
        <v>15</v>
      </c>
      <c r="J229" s="273">
        <f ca="1">IFERROR(__xludf.DUMMYFUNCTION("IMPORTRANGE(""https://docs.google.com/spreadsheets/d/1IYY_tgx_IHuhSq3AJ5eI5OnqOPBNLWSHKh2a30DoXe8/edit?usp=sharing"",""ตรัง!J149"")"),15)</f>
        <v>15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IFERROR(__xludf.DUMMYFUNCTION("IMPORTRANGE(""https://docs.google.com/spreadsheets/d/1IYY_tgx_IHuhSq3AJ5eI5OnqOPBNLWSHKh2a30DoXe8/edit?usp=sharing"",""ตรัง!J151"")"),0)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IFERROR(__xludf.DUMMYFUNCTION("IMPORTRANGE(""https://docs.google.com/spreadsheets/d/1IYY_tgx_IHuhSq3AJ5eI5OnqOPBNLWSHKh2a30DoXe8/edit?usp=sharing"",""ตรัง!J152"")"),1)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IFERROR(__xludf.DUMMYFUNCTION("IMPORTRANGE(""https://docs.google.com/spreadsheets/d/1IYY_tgx_IHuhSq3AJ5eI5OnqOPBNLWSHKh2a30DoXe8/edit?usp=sharing"",""ตรัง!J153"")"),1)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IFERROR(__xludf.DUMMYFUNCTION("IMPORTRANGE(""https://docs.google.com/spreadsheets/d/1IYY_tgx_IHuhSq3AJ5eI5OnqOPBNLWSHKh2a30DoXe8/edit?usp=sharing"",""ตรัง!J154"")"),1)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IFERROR(__xludf.DUMMYFUNCTION("IMPORTRANGE(""https://docs.google.com/spreadsheets/d/1IYY_tgx_IHuhSq3AJ5eI5OnqOPBNLWSHKh2a30DoXe8/edit?usp=sharing"",""ตรัง!I155"")"),15)</f>
        <v>15</v>
      </c>
      <c r="J235" s="195">
        <f ca="1">IFERROR(__xludf.DUMMYFUNCTION("IMPORTRANGE(""https://docs.google.com/spreadsheets/d/1IYY_tgx_IHuhSq3AJ5eI5OnqOPBNLWSHKh2a30DoXe8/edit?usp=sharing"",""ตรัง!J155"")"),15)</f>
        <v>15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IFERROR(__xludf.DUMMYFUNCTION("IMPORTRANGE(""https://docs.google.com/spreadsheets/d/1IYY_tgx_IHuhSq3AJ5eI5OnqOPBNLWSHKh2a30DoXe8/edit?usp=sharing"",""ตรัง!J156"")"),0)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IFERROR(__xludf.DUMMYFUNCTION("IMPORTRANGE(""https://docs.google.com/spreadsheets/d/1IYY_tgx_IHuhSq3AJ5eI5OnqOPBNLWSHKh2a30DoXe8/edit?usp=sharing"",""ตรัง!J157"")"),0)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IFERROR(__xludf.DUMMYFUNCTION("IMPORTRANGE(""https://docs.google.com/spreadsheets/d/1IYY_tgx_IHuhSq3AJ5eI5OnqOPBNLWSHKh2a30DoXe8/edit?usp=sharing"",""ตรัง!I158"")"),0)</f>
        <v>0</v>
      </c>
      <c r="J238" s="273">
        <f ca="1">IFERROR(__xludf.DUMMYFUNCTION("IMPORTRANGE(""https://docs.google.com/spreadsheets/d/1IYY_tgx_IHuhSq3AJ5eI5OnqOPBNLWSHKh2a30DoXe8/edit?usp=sharing"",""ตรัง!J158"")"),0)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IFERROR(__xludf.DUMMYFUNCTION("IMPORTRANGE(""https://docs.google.com/spreadsheets/d/1IYY_tgx_IHuhSq3AJ5eI5OnqOPBNLWSHKh2a30DoXe8/edit?usp=sharing"",""ตรัง!J159"")"),"")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IFERROR(__xludf.DUMMYFUNCTION("IMPORTRANGE(""https://docs.google.com/spreadsheets/d/1IYY_tgx_IHuhSq3AJ5eI5OnqOPBNLWSHKh2a30DoXe8/edit?usp=sharing"",""ตรัง!J161"")"),0)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IFERROR(__xludf.DUMMYFUNCTION("IMPORTRANGE(""https://docs.google.com/spreadsheets/d/1IYY_tgx_IHuhSq3AJ5eI5OnqOPBNLWSHKh2a30DoXe8/edit?usp=sharing"",""ตรัง!J162"")"),0)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IFERROR(__xludf.DUMMYFUNCTION("IMPORTRANGE(""https://docs.google.com/spreadsheets/d/1IYY_tgx_IHuhSq3AJ5eI5OnqOPBNLWSHKh2a30DoXe8/edit?usp=sharing"",""ตรัง!J163"")"),0)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IFERROR(__xludf.DUMMYFUNCTION("IMPORTRANGE(""https://docs.google.com/spreadsheets/d/1IYY_tgx_IHuhSq3AJ5eI5OnqOPBNLWSHKh2a30DoXe8/edit?usp=sharing"",""ตรัง!I164"")"),0)</f>
        <v>0</v>
      </c>
      <c r="J244" s="194">
        <f ca="1">IFERROR(__xludf.DUMMYFUNCTION("IMPORTRANGE(""https://docs.google.com/spreadsheets/d/1IYY_tgx_IHuhSq3AJ5eI5OnqOPBNLWSHKh2a30DoXe8/edit?usp=sharing"",""ตรัง!J164"")"),0)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IFERROR(__xludf.DUMMYFUNCTION("IMPORTRANGE(""https://docs.google.com/spreadsheets/d/1IYY_tgx_IHuhSq3AJ5eI5OnqOPBNLWSHKh2a30DoXe8/edit?usp=sharing"",""ตรัง!J165"")"),0)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IFERROR(__xludf.DUMMYFUNCTION("IMPORTRANGE(""https://docs.google.com/spreadsheets/d/1IYY_tgx_IHuhSq3AJ5eI5OnqOPBNLWSHKh2a30DoXe8/edit?usp=sharing"",""ตรัง!J166"")"),0)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IFERROR(__xludf.DUMMYFUNCTION("IMPORTRANGE(""https://docs.google.com/spreadsheets/d/1IYY_tgx_IHuhSq3AJ5eI5OnqOPBNLWSHKh2a30DoXe8/edit?usp=sharing"",""ตรัง!I169"")"),20)</f>
        <v>20</v>
      </c>
      <c r="J249" s="322">
        <f ca="1">IFERROR(__xludf.DUMMYFUNCTION("IMPORTRANGE(""https://docs.google.com/spreadsheets/d/1IYY_tgx_IHuhSq3AJ5eI5OnqOPBNLWSHKh2a30DoXe8/edit?usp=sharing"",""ตรัง!J169"")"),20)</f>
        <v>20</v>
      </c>
      <c r="K249" s="323">
        <f ca="1">IF(I249&gt;0,J249*100/I249,0)</f>
        <v>100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2" t="s">
        <v>17</v>
      </c>
      <c r="E250" s="573"/>
      <c r="F250" s="573"/>
      <c r="G250" s="573"/>
      <c r="H250" s="153" t="s">
        <v>12</v>
      </c>
      <c r="I250" s="166"/>
      <c r="J250" s="166"/>
      <c r="K250" s="167"/>
      <c r="L250" s="156">
        <f t="shared" ref="L250:N250" ca="1" si="77">L251+L252</f>
        <v>71400</v>
      </c>
      <c r="M250" s="156">
        <f t="shared" ca="1" si="77"/>
        <v>71400</v>
      </c>
      <c r="N250" s="156">
        <f t="shared" ca="1" si="77"/>
        <v>65891.3</v>
      </c>
      <c r="O250" s="155">
        <f t="shared" ref="O250:O252" ca="1" si="78">IF(L250&gt;0,N250*100/L250,0)</f>
        <v>92.28473389355743</v>
      </c>
      <c r="P250" s="155">
        <f t="shared" ref="P250:P252" ca="1" si="79">IF(M250&gt;0,N250*100/M250,0)</f>
        <v>92.28473389355743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71400</v>
      </c>
      <c r="M252" s="161">
        <f t="shared" ca="1" si="81"/>
        <v>71400</v>
      </c>
      <c r="N252" s="161">
        <f t="shared" ca="1" si="81"/>
        <v>65891.3</v>
      </c>
      <c r="O252" s="160">
        <f t="shared" ca="1" si="78"/>
        <v>92.28473389355743</v>
      </c>
      <c r="P252" s="160">
        <f t="shared" ca="1" si="79"/>
        <v>92.28473389355743</v>
      </c>
    </row>
    <row r="253" spans="1:16" ht="21.75" customHeight="1" x14ac:dyDescent="0.3">
      <c r="A253" s="162"/>
      <c r="B253" s="163"/>
      <c r="C253" s="163" t="s">
        <v>16</v>
      </c>
      <c r="D253" s="574" t="s">
        <v>20</v>
      </c>
      <c r="E253" s="575"/>
      <c r="F253" s="575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71400</v>
      </c>
      <c r="M254" s="173">
        <f ca="1">IFERROR(__xludf.DUMMYFUNCTION("IMPORTRANGE(""https://docs.google.com/spreadsheets/d/1Yj_ptqi66GCucihVvJfMjLAmec39IyEx_6qawtMGysU/edit?usp=sharing"",""สบก!CB83"")"),71400)</f>
        <v>71400</v>
      </c>
      <c r="N254" s="174">
        <f ca="1">IFERROR(__xludf.DUMMYFUNCTION("IMPORTRANGE(""https://docs.google.com/spreadsheets/d/1Yj_ptqi66GCucihVvJfMjLAmec39IyEx_6qawtMGysU/edit?usp=sharing"",""สบก!CC83"")"),65891.3)</f>
        <v>65891.3</v>
      </c>
      <c r="O254" s="175">
        <f ca="1">IF(L254&gt;0,N254*100/L254,0)</f>
        <v>92.28473389355743</v>
      </c>
      <c r="P254" s="175">
        <f ca="1">IF(M254&gt;0,N254*100/M254,0)</f>
        <v>92.28473389355743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IFERROR(__xludf.DUMMYFUNCTION("IMPORTRANGE(""https://docs.google.com/spreadsheets/d/1Yj_ptqi66GCucihVvJfMjLAmec39IyEx_6qawtMGysU/edit?usp=sharing"",""สบก!BX83"")"),0)</f>
        <v>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IFERROR(__xludf.DUMMYFUNCTION("IMPORTRANGE(""https://docs.google.com/spreadsheets/d/1Yj_ptqi66GCucihVvJfMjLAmec39IyEx_6qawtMGysU/edit?usp=sharing"",""สบก!BY83"")"),71400)</f>
        <v>71400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6" t="s">
        <v>23</v>
      </c>
      <c r="E257" s="575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IFERROR(__xludf.DUMMYFUNCTION("IMPORTRANGE(""https://docs.google.com/spreadsheets/d/1Yj_ptqi66GCucihVvJfMjLAmec39IyEx_6qawtMGysU/edit?usp=sharing"",""สบก!BZ83"")"),0)</f>
        <v>0</v>
      </c>
      <c r="M258" s="101"/>
      <c r="N258" s="91">
        <f ca="1">IFERROR(__xludf.DUMMYFUNCTION("IMPORTRANGE(""https://docs.google.com/spreadsheets/d/1Yj_ptqi66GCucihVvJfMjLAmec39IyEx_6qawtMGysU/edit?usp=sharing"",""สบก!CD83"")"),0)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IFERROR(__xludf.DUMMYFUNCTION("IMPORTRANGE(""https://docs.google.com/spreadsheets/d/1IYY_tgx_IHuhSq3AJ5eI5OnqOPBNLWSHKh2a30DoXe8/edit?usp=sharing"",""ตรัง!J175"")"),0)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IFERROR(__xludf.DUMMYFUNCTION("IMPORTRANGE(""https://docs.google.com/spreadsheets/d/1IYY_tgx_IHuhSq3AJ5eI5OnqOPBNLWSHKh2a30DoXe8/edit?usp=sharing"",""ตรัง!J176"")"),1)</f>
        <v>1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IFERROR(__xludf.DUMMYFUNCTION("IMPORTRANGE(""https://docs.google.com/spreadsheets/d/1IYY_tgx_IHuhSq3AJ5eI5OnqOPBNLWSHKh2a30DoXe8/edit?usp=sharing"",""ตรัง!J177"")"),1)</f>
        <v>1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IFERROR(__xludf.DUMMYFUNCTION("IMPORTRANGE(""https://docs.google.com/spreadsheets/d/1IYY_tgx_IHuhSq3AJ5eI5OnqOPBNLWSHKh2a30DoXe8/edit?usp=sharing"",""ตรัง!J178"")"),1)</f>
        <v>1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IFERROR(__xludf.DUMMYFUNCTION("IMPORTRANGE(""https://docs.google.com/spreadsheets/d/1IYY_tgx_IHuhSq3AJ5eI5OnqOPBNLWSHKh2a30DoXe8/edit?usp=sharing"",""ตรัง!I179"")"),1)</f>
        <v>1</v>
      </c>
      <c r="J264" s="195">
        <f ca="1">IFERROR(__xludf.DUMMYFUNCTION("IMPORTRANGE(""https://docs.google.com/spreadsheets/d/1IYY_tgx_IHuhSq3AJ5eI5OnqOPBNLWSHKh2a30DoXe8/edit?usp=sharing"",""ตรัง!J179"")"),1)</f>
        <v>1</v>
      </c>
      <c r="K264" s="167">
        <f t="shared" ref="K264:K267" ca="1" si="82">IF(I264&gt;0,J264*100/I264,0)</f>
        <v>100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IFERROR(__xludf.DUMMYFUNCTION("IMPORTRANGE(""https://docs.google.com/spreadsheets/d/1IYY_tgx_IHuhSq3AJ5eI5OnqOPBNLWSHKh2a30DoXe8/edit?usp=sharing"",""ตรัง!I180"")"),20)</f>
        <v>20</v>
      </c>
      <c r="J265" s="195">
        <f ca="1">IFERROR(__xludf.DUMMYFUNCTION("IMPORTRANGE(""https://docs.google.com/spreadsheets/d/1IYY_tgx_IHuhSq3AJ5eI5OnqOPBNLWSHKh2a30DoXe8/edit?usp=sharing"",""ตรัง!J180"")"),20)</f>
        <v>20</v>
      </c>
      <c r="K265" s="167">
        <f t="shared" ca="1" si="82"/>
        <v>100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IFERROR(__xludf.DUMMYFUNCTION("IMPORTRANGE(""https://docs.google.com/spreadsheets/d/1IYY_tgx_IHuhSq3AJ5eI5OnqOPBNLWSHKh2a30DoXe8/edit?usp=sharing"",""ตรัง!I181"")"),20)</f>
        <v>20</v>
      </c>
      <c r="J266" s="195">
        <f ca="1">IFERROR(__xludf.DUMMYFUNCTION("IMPORTRANGE(""https://docs.google.com/spreadsheets/d/1IYY_tgx_IHuhSq3AJ5eI5OnqOPBNLWSHKh2a30DoXe8/edit?usp=sharing"",""ตรัง!J181"")"),20)</f>
        <v>20</v>
      </c>
      <c r="K266" s="167">
        <f t="shared" ca="1" si="82"/>
        <v>100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IFERROR(__xludf.DUMMYFUNCTION("IMPORTRANGE(""https://docs.google.com/spreadsheets/d/1IYY_tgx_IHuhSq3AJ5eI5OnqOPBNLWSHKh2a30DoXe8/edit?usp=sharing"",""ตรัง!I182"")"),1)</f>
        <v>1</v>
      </c>
      <c r="J267" s="195">
        <f ca="1">IFERROR(__xludf.DUMMYFUNCTION("IMPORTRANGE(""https://docs.google.com/spreadsheets/d/1IYY_tgx_IHuhSq3AJ5eI5OnqOPBNLWSHKh2a30DoXe8/edit?usp=sharing"",""ตรัง!J182"")"),1)</f>
        <v>1</v>
      </c>
      <c r="K267" s="167">
        <f t="shared" ca="1" si="82"/>
        <v>100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IFERROR(__xludf.DUMMYFUNCTION("IMPORTRANGE(""https://docs.google.com/spreadsheets/d/1IYY_tgx_IHuhSq3AJ5eI5OnqOPBNLWSHKh2a30DoXe8/edit?usp=sharing"",""ตรัง!J183"")"),0)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IFERROR(__xludf.DUMMYFUNCTION("IMPORTRANGE(""https://docs.google.com/spreadsheets/d/1IYY_tgx_IHuhSq3AJ5eI5OnqOPBNLWSHKh2a30DoXe8/edit?usp=sharing"",""ตรัง!J184"")"),0)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IFERROR(__xludf.DUMMYFUNCTION("IMPORTRANGE(""https://docs.google.com/spreadsheets/d/1IYY_tgx_IHuhSq3AJ5eI5OnqOPBNLWSHKh2a30DoXe8/edit?usp=sharing"",""ตรัง!I185"")"),0)</f>
        <v>0</v>
      </c>
      <c r="J270" s="322">
        <f ca="1">IFERROR(__xludf.DUMMYFUNCTION("IMPORTRANGE(""https://docs.google.com/spreadsheets/d/1IYY_tgx_IHuhSq3AJ5eI5OnqOPBNLWSHKh2a30DoXe8/edit?usp=sharing"",""ตรัง!J185"")"),0)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2" t="s">
        <v>17</v>
      </c>
      <c r="E271" s="573"/>
      <c r="F271" s="573"/>
      <c r="G271" s="573"/>
      <c r="H271" s="153" t="s">
        <v>12</v>
      </c>
      <c r="I271" s="166"/>
      <c r="J271" s="166"/>
      <c r="K271" s="167"/>
      <c r="L271" s="156">
        <f t="shared" ref="L271:N271" ca="1" si="83">L272+L273</f>
        <v>0</v>
      </c>
      <c r="M271" s="156">
        <f t="shared" ca="1" si="83"/>
        <v>0</v>
      </c>
      <c r="N271" s="156">
        <f t="shared" ca="1" si="83"/>
        <v>0</v>
      </c>
      <c r="O271" s="155">
        <f t="shared" ref="O271:O273" ca="1" si="84">IF(L271&gt;0,N271*100/L271,0)</f>
        <v>0</v>
      </c>
      <c r="P271" s="155">
        <f t="shared" ref="P271:P273" ca="1" si="85">IF(M271&gt;0,N271*100/M271,0)</f>
        <v>0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0</v>
      </c>
      <c r="M273" s="161">
        <f t="shared" ca="1" si="87"/>
        <v>0</v>
      </c>
      <c r="N273" s="161">
        <f t="shared" ca="1" si="87"/>
        <v>0</v>
      </c>
      <c r="O273" s="160">
        <f t="shared" ca="1" si="84"/>
        <v>0</v>
      </c>
      <c r="P273" s="160">
        <f t="shared" ca="1" si="85"/>
        <v>0</v>
      </c>
    </row>
    <row r="274" spans="1:16" ht="21.75" customHeight="1" x14ac:dyDescent="0.3">
      <c r="A274" s="162"/>
      <c r="B274" s="163"/>
      <c r="C274" s="163" t="s">
        <v>16</v>
      </c>
      <c r="D274" s="574" t="s">
        <v>20</v>
      </c>
      <c r="E274" s="575"/>
      <c r="F274" s="575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0</v>
      </c>
      <c r="M275" s="173">
        <f ca="1">IFERROR(__xludf.DUMMYFUNCTION("IMPORTRANGE(""https://docs.google.com/spreadsheets/d/1Yj_ptqi66GCucihVvJfMjLAmec39IyEx_6qawtMGysU/edit?usp=sharing"",""สบก!CK83"")"),0)</f>
        <v>0</v>
      </c>
      <c r="N275" s="174">
        <f ca="1">IFERROR(__xludf.DUMMYFUNCTION("IMPORTRANGE(""https://docs.google.com/spreadsheets/d/1Yj_ptqi66GCucihVvJfMjLAmec39IyEx_6qawtMGysU/edit?usp=sharing"",""สบก!CL83"")"),0)</f>
        <v>0</v>
      </c>
      <c r="O275" s="175">
        <f ca="1">IF(L275&gt;0,N275*100/L275,0)</f>
        <v>0</v>
      </c>
      <c r="P275" s="175">
        <f ca="1">IF(M275&gt;0,N275*100/M275,0)</f>
        <v>0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IFERROR(__xludf.DUMMYFUNCTION("IMPORTRANGE(""https://docs.google.com/spreadsheets/d/1Yj_ptqi66GCucihVvJfMjLAmec39IyEx_6qawtMGysU/edit?usp=sharing"",""สบก!CG83"")"),0)</f>
        <v>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IFERROR(__xludf.DUMMYFUNCTION("IMPORTRANGE(""https://docs.google.com/spreadsheets/d/1Yj_ptqi66GCucihVvJfMjLAmec39IyEx_6qawtMGysU/edit?usp=sharing"",""สบก!CH83"")"),0)</f>
        <v>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6" t="s">
        <v>23</v>
      </c>
      <c r="E278" s="575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IFERROR(__xludf.DUMMYFUNCTION("IMPORTRANGE(""https://docs.google.com/spreadsheets/d/1Yj_ptqi66GCucihVvJfMjLAmec39IyEx_6qawtMGysU/edit?usp=sharing"",""สบก!CI83"")"),0)</f>
        <v>0</v>
      </c>
      <c r="M279" s="101"/>
      <c r="N279" s="91">
        <f ca="1">IFERROR(__xludf.DUMMYFUNCTION("IMPORTRANGE(""https://docs.google.com/spreadsheets/d/1Yj_ptqi66GCucihVvJfMjLAmec39IyEx_6qawtMGysU/edit?usp=sharing"",""สบก!CM83"")"),0)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IFERROR(__xludf.DUMMYFUNCTION("IMPORTRANGE(""https://docs.google.com/spreadsheets/d/1IYY_tgx_IHuhSq3AJ5eI5OnqOPBNLWSHKh2a30DoXe8/edit?usp=sharing"",""ตรัง!J191"")"),0)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IFERROR(__xludf.DUMMYFUNCTION("IMPORTRANGE(""https://docs.google.com/spreadsheets/d/1IYY_tgx_IHuhSq3AJ5eI5OnqOPBNLWSHKh2a30DoXe8/edit?usp=sharing"",""ตรัง!J192"")"),0)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IFERROR(__xludf.DUMMYFUNCTION("IMPORTRANGE(""https://docs.google.com/spreadsheets/d/1IYY_tgx_IHuhSq3AJ5eI5OnqOPBNLWSHKh2a30DoXe8/edit?usp=sharing"",""ตรัง!J193"")"),0)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IFERROR(__xludf.DUMMYFUNCTION("IMPORTRANGE(""https://docs.google.com/spreadsheets/d/1IYY_tgx_IHuhSq3AJ5eI5OnqOPBNLWSHKh2a30DoXe8/edit?usp=sharing"",""ตรัง!J194"")"),0)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IFERROR(__xludf.DUMMYFUNCTION("IMPORTRANGE(""https://docs.google.com/spreadsheets/d/1IYY_tgx_IHuhSq3AJ5eI5OnqOPBNLWSHKh2a30DoXe8/edit?usp=sharing"",""ตรัง!I195"")"),0)</f>
        <v>0</v>
      </c>
      <c r="J285" s="195">
        <f ca="1">IFERROR(__xludf.DUMMYFUNCTION("IMPORTRANGE(""https://docs.google.com/spreadsheets/d/1IYY_tgx_IHuhSq3AJ5eI5OnqOPBNLWSHKh2a30DoXe8/edit?usp=sharing"",""ตรัง!J195"")"),0)</f>
        <v>0</v>
      </c>
      <c r="K285" s="167">
        <f ca="1">IF(I285&gt;0,J285*100/I285,0)</f>
        <v>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IFERROR(__xludf.DUMMYFUNCTION("IMPORTRANGE(""https://docs.google.com/spreadsheets/d/1IYY_tgx_IHuhSq3AJ5eI5OnqOPBNLWSHKh2a30DoXe8/edit?usp=sharing"",""ตรัง!J196"")"),0)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IFERROR(__xludf.DUMMYFUNCTION("IMPORTRANGE(""https://docs.google.com/spreadsheets/d/1IYY_tgx_IHuhSq3AJ5eI5OnqOPBNLWSHKh2a30DoXe8/edit?usp=sharing"",""ตรัง!J197"")"),0)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IFERROR(__xludf.DUMMYFUNCTION("IMPORTRANGE(""https://docs.google.com/spreadsheets/d/1IYY_tgx_IHuhSq3AJ5eI5OnqOPBNLWSHKh2a30DoXe8/edit?usp=sharing"",""ตรัง!I199"")"),0)</f>
        <v>0</v>
      </c>
      <c r="J289" s="322">
        <f ca="1">IFERROR(__xludf.DUMMYFUNCTION("IMPORTRANGE(""https://docs.google.com/spreadsheets/d/1IYY_tgx_IHuhSq3AJ5eI5OnqOPBNLWSHKh2a30DoXe8/edit?usp=sharing"",""ตรัง!J199"")"),0)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2" t="s">
        <v>17</v>
      </c>
      <c r="E290" s="573"/>
      <c r="F290" s="573"/>
      <c r="G290" s="573"/>
      <c r="H290" s="153" t="s">
        <v>12</v>
      </c>
      <c r="I290" s="194"/>
      <c r="J290" s="194"/>
      <c r="K290" s="230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3">
      <c r="A293" s="162"/>
      <c r="B293" s="163"/>
      <c r="C293" s="163" t="s">
        <v>16</v>
      </c>
      <c r="D293" s="574" t="s">
        <v>20</v>
      </c>
      <c r="E293" s="575"/>
      <c r="F293" s="575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IFERROR(__xludf.DUMMYFUNCTION("IMPORTRANGE(""https://docs.google.com/spreadsheets/d/1Yj_ptqi66GCucihVvJfMjLAmec39IyEx_6qawtMGysU/edit?usp=sharing"",""สบก!CT83"")"),0)</f>
        <v>0</v>
      </c>
      <c r="N294" s="174">
        <f ca="1">IFERROR(__xludf.DUMMYFUNCTION("IMPORTRANGE(""https://docs.google.com/spreadsheets/d/1Yj_ptqi66GCucihVvJfMjLAmec39IyEx_6qawtMGysU/edit?usp=sharing"",""สบก!CU83"")"),0)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IFERROR(__xludf.DUMMYFUNCTION("IMPORTRANGE(""https://docs.google.com/spreadsheets/d/1Yj_ptqi66GCucihVvJfMjLAmec39IyEx_6qawtMGysU/edit?usp=sharing"",""สบก!CP83"")"),0)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IFERROR(__xludf.DUMMYFUNCTION("IMPORTRANGE(""https://docs.google.com/spreadsheets/d/1Yj_ptqi66GCucihVvJfMjLAmec39IyEx_6qawtMGysU/edit?usp=sharing"",""สบก!CQ83"")"),0)</f>
        <v>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6" t="s">
        <v>23</v>
      </c>
      <c r="E297" s="575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IFERROR(__xludf.DUMMYFUNCTION("IMPORTRANGE(""https://docs.google.com/spreadsheets/d/1Yj_ptqi66GCucihVvJfMjLAmec39IyEx_6qawtMGysU/edit?usp=sharing"",""สบก!CR83"")"),0)</f>
        <v>0</v>
      </c>
      <c r="M298" s="101"/>
      <c r="N298" s="91">
        <f ca="1">IFERROR(__xludf.DUMMYFUNCTION("IMPORTRANGE(""https://docs.google.com/spreadsheets/d/1Yj_ptqi66GCucihVvJfMjLAmec39IyEx_6qawtMGysU/edit?usp=sharing"",""สบก!CV83"")"),0)</f>
        <v>0</v>
      </c>
      <c r="O298" s="101">
        <f ca="1">IF(L298&gt;0,N298*100/L298,0)</f>
        <v>0</v>
      </c>
      <c r="P298" s="101"/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IFERROR(__xludf.DUMMYFUNCTION("IMPORTRANGE(""https://docs.google.com/spreadsheets/d/1IYY_tgx_IHuhSq3AJ5eI5OnqOPBNLWSHKh2a30DoXe8/edit?usp=sharing"",""ตรัง!J205"")"),0)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IFERROR(__xludf.DUMMYFUNCTION("IMPORTRANGE(""https://docs.google.com/spreadsheets/d/1IYY_tgx_IHuhSq3AJ5eI5OnqOPBNLWSHKh2a30DoXe8/edit?usp=sharing"",""ตรัง!J206"")"),0)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IFERROR(__xludf.DUMMYFUNCTION("IMPORTRANGE(""https://docs.google.com/spreadsheets/d/1IYY_tgx_IHuhSq3AJ5eI5OnqOPBNLWSHKh2a30DoXe8/edit?usp=sharing"",""ตรัง!J207"")"),0)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IFERROR(__xludf.DUMMYFUNCTION("IMPORTRANGE(""https://docs.google.com/spreadsheets/d/1IYY_tgx_IHuhSq3AJ5eI5OnqOPBNLWSHKh2a30DoXe8/edit?usp=sharing"",""ตรัง!J208"")"),0)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IFERROR(__xludf.DUMMYFUNCTION("IMPORTRANGE(""https://docs.google.com/spreadsheets/d/1IYY_tgx_IHuhSq3AJ5eI5OnqOPBNLWSHKh2a30DoXe8/edit?usp=sharing"",""ตรัง!I209"")"),0)</f>
        <v>0</v>
      </c>
      <c r="J304" s="210">
        <f ca="1">IFERROR(__xludf.DUMMYFUNCTION("IMPORTRANGE(""https://docs.google.com/spreadsheets/d/1IYY_tgx_IHuhSq3AJ5eI5OnqOPBNLWSHKh2a30DoXe8/edit?usp=sharing"",""ตรัง!J209"")"),0)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IFERROR(__xludf.DUMMYFUNCTION("IMPORTRANGE(""https://docs.google.com/spreadsheets/d/1IYY_tgx_IHuhSq3AJ5eI5OnqOPBNLWSHKh2a30DoXe8/edit?usp=sharing"",""ตรัง!I211"")"),0)</f>
        <v>0</v>
      </c>
      <c r="J306" s="210">
        <f ca="1">IFERROR(__xludf.DUMMYFUNCTION("IMPORTRANGE(""https://docs.google.com/spreadsheets/d/1IYY_tgx_IHuhSq3AJ5eI5OnqOPBNLWSHKh2a30DoXe8/edit?usp=sharing"",""ตรัง!J211"")"),0)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IFERROR(__xludf.DUMMYFUNCTION("IMPORTRANGE(""https://docs.google.com/spreadsheets/d/1IYY_tgx_IHuhSq3AJ5eI5OnqOPBNLWSHKh2a30DoXe8/edit?usp=sharing"",""ตรัง!J212"")"),0)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IFERROR(__xludf.DUMMYFUNCTION("IMPORTRANGE(""https://docs.google.com/spreadsheets/d/1IYY_tgx_IHuhSq3AJ5eI5OnqOPBNLWSHKh2a30DoXe8/edit?usp=sharing"",""ตรัง!J213"")"),0)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IFERROR(__xludf.DUMMYFUNCTION("IMPORTRANGE(""https://docs.google.com/spreadsheets/d/1IYY_tgx_IHuhSq3AJ5eI5OnqOPBNLWSHKh2a30DoXe8/edit?usp=sharing"",""ตรัง!I214"")"),0)</f>
        <v>0</v>
      </c>
      <c r="J309" s="339">
        <f ca="1">IFERROR(__xludf.DUMMYFUNCTION("IMPORTRANGE(""https://docs.google.com/spreadsheets/d/1IYY_tgx_IHuhSq3AJ5eI5OnqOPBNLWSHKh2a30DoXe8/edit?usp=sharing"",""ตรัง!J214"")"),0)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2" t="s">
        <v>17</v>
      </c>
      <c r="E310" s="573"/>
      <c r="F310" s="573"/>
      <c r="G310" s="573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3">
      <c r="A313" s="162"/>
      <c r="B313" s="163"/>
      <c r="C313" s="163" t="s">
        <v>16</v>
      </c>
      <c r="D313" s="574" t="s">
        <v>20</v>
      </c>
      <c r="E313" s="575"/>
      <c r="F313" s="575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IFERROR(__xludf.DUMMYFUNCTION("IMPORTRANGE(""https://docs.google.com/spreadsheets/d/1Yj_ptqi66GCucihVvJfMjLAmec39IyEx_6qawtMGysU/edit?usp=sharing"",""สบก!DC83"")"),0)</f>
        <v>0</v>
      </c>
      <c r="N314" s="174">
        <f ca="1">IFERROR(__xludf.DUMMYFUNCTION("IMPORTRANGE(""https://docs.google.com/spreadsheets/d/1Yj_ptqi66GCucihVvJfMjLAmec39IyEx_6qawtMGysU/edit?usp=sharing"",""สบก!DD83"")"),0)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IFERROR(__xludf.DUMMYFUNCTION("IMPORTRANGE(""https://docs.google.com/spreadsheets/d/1Yj_ptqi66GCucihVvJfMjLAmec39IyEx_6qawtMGysU/edit?usp=sharing"",""สบก!CY83"")"),0)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IFERROR(__xludf.DUMMYFUNCTION("IMPORTRANGE(""https://docs.google.com/spreadsheets/d/1Yj_ptqi66GCucihVvJfMjLAmec39IyEx_6qawtMGysU/edit?usp=sharing"",""สบก!CZ83"")"),0)</f>
        <v>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6" t="s">
        <v>23</v>
      </c>
      <c r="E317" s="575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IFERROR(__xludf.DUMMYFUNCTION("IMPORTRANGE(""https://docs.google.com/spreadsheets/d/1Yj_ptqi66GCucihVvJfMjLAmec39IyEx_6qawtMGysU/edit?usp=sharing"",""สบก!DA83"")"),0)</f>
        <v>0</v>
      </c>
      <c r="M318" s="101"/>
      <c r="N318" s="91">
        <f ca="1">IFERROR(__xludf.DUMMYFUNCTION("IMPORTRANGE(""https://docs.google.com/spreadsheets/d/1Yj_ptqi66GCucihVvJfMjLAmec39IyEx_6qawtMGysU/edit?usp=sharing"",""สบก!DE83"")"),0)</f>
        <v>0</v>
      </c>
      <c r="O318" s="101">
        <f ca="1">IF(L318&gt;0,N318*100/L318,0)</f>
        <v>0</v>
      </c>
      <c r="P318" s="101"/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IFERROR(__xludf.DUMMYFUNCTION("IMPORTRANGE(""https://docs.google.com/spreadsheets/d/1IYY_tgx_IHuhSq3AJ5eI5OnqOPBNLWSHKh2a30DoXe8/edit?usp=sharing"",""ตรัง!J220"")"),0)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IFERROR(__xludf.DUMMYFUNCTION("IMPORTRANGE(""https://docs.google.com/spreadsheets/d/1IYY_tgx_IHuhSq3AJ5eI5OnqOPBNLWSHKh2a30DoXe8/edit?usp=sharing"",""ตรัง!J221"")"),0)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IFERROR(__xludf.DUMMYFUNCTION("IMPORTRANGE(""https://docs.google.com/spreadsheets/d/1IYY_tgx_IHuhSq3AJ5eI5OnqOPBNLWSHKh2a30DoXe8/edit?usp=sharing"",""ตรัง!J222"")"),0)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IFERROR(__xludf.DUMMYFUNCTION("IMPORTRANGE(""https://docs.google.com/spreadsheets/d/1IYY_tgx_IHuhSq3AJ5eI5OnqOPBNLWSHKh2a30DoXe8/edit?usp=sharing"",""ตรัง!J223"")"),0)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IFERROR(__xludf.DUMMYFUNCTION("IMPORTRANGE(""https://docs.google.com/spreadsheets/d/1IYY_tgx_IHuhSq3AJ5eI5OnqOPBNLWSHKh2a30DoXe8/edit?usp=sharing"",""ตรัง!I224"")"),0)</f>
        <v>0</v>
      </c>
      <c r="J324" s="210">
        <f ca="1">IFERROR(__xludf.DUMMYFUNCTION("IMPORTRANGE(""https://docs.google.com/spreadsheets/d/1IYY_tgx_IHuhSq3AJ5eI5OnqOPBNLWSHKh2a30DoXe8/edit?usp=sharing"",""ตรัง!J224"")"),0)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IFERROR(__xludf.DUMMYFUNCTION("IMPORTRANGE(""https://docs.google.com/spreadsheets/d/1IYY_tgx_IHuhSq3AJ5eI5OnqOPBNLWSHKh2a30DoXe8/edit?usp=sharing"",""ตรัง!J225"")"),0)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IFERROR(__xludf.DUMMYFUNCTION("IMPORTRANGE(""https://docs.google.com/spreadsheets/d/1IYY_tgx_IHuhSq3AJ5eI5OnqOPBNLWSHKh2a30DoXe8/edit?usp=sharing"",""ตรัง!J226"")"),0)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IFERROR(__xludf.DUMMYFUNCTION("IMPORTRANGE(""https://docs.google.com/spreadsheets/d/1IYY_tgx_IHuhSq3AJ5eI5OnqOPBNLWSHKh2a30DoXe8/edit?usp=sharing"",""ตรัง!I228"")"),263)</f>
        <v>263</v>
      </c>
      <c r="J328" s="345">
        <f ca="1">IFERROR(__xludf.DUMMYFUNCTION("IMPORTRANGE(""https://docs.google.com/spreadsheets/d/1IYY_tgx_IHuhSq3AJ5eI5OnqOPBNLWSHKh2a30DoXe8/edit?usp=sharing"",""ตรัง!J228"")"),343)</f>
        <v>343</v>
      </c>
      <c r="K328" s="323">
        <f ca="1">IF(I328&gt;0,J328*100/I328,0)</f>
        <v>130.41825095057035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2" t="s">
        <v>17</v>
      </c>
      <c r="E329" s="573"/>
      <c r="F329" s="573"/>
      <c r="G329" s="573"/>
      <c r="H329" s="153" t="s">
        <v>12</v>
      </c>
      <c r="I329" s="166"/>
      <c r="J329" s="166"/>
      <c r="K329" s="167"/>
      <c r="L329" s="156">
        <f t="shared" ref="L329:N329" ca="1" si="98">L330+L331</f>
        <v>900750</v>
      </c>
      <c r="M329" s="156">
        <f t="shared" ca="1" si="98"/>
        <v>1008800</v>
      </c>
      <c r="N329" s="156">
        <f t="shared" ca="1" si="98"/>
        <v>899524.51</v>
      </c>
      <c r="O329" s="155">
        <f t="shared" ref="O329:O331" ca="1" si="99">IF(L329&gt;0,N329*100/L329,0)</f>
        <v>99.863947821260055</v>
      </c>
      <c r="P329" s="155">
        <f t="shared" ref="P329:P331" ca="1" si="100">IF(M329&gt;0,N329*100/M329,0)</f>
        <v>89.167774583663757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900750</v>
      </c>
      <c r="M331" s="161">
        <f t="shared" ca="1" si="102"/>
        <v>1008800</v>
      </c>
      <c r="N331" s="161">
        <f t="shared" ca="1" si="102"/>
        <v>899524.51</v>
      </c>
      <c r="O331" s="160">
        <f t="shared" ca="1" si="99"/>
        <v>99.863947821260055</v>
      </c>
      <c r="P331" s="160">
        <f t="shared" ca="1" si="100"/>
        <v>89.167774583663757</v>
      </c>
    </row>
    <row r="332" spans="1:16" ht="21.75" customHeight="1" x14ac:dyDescent="0.3">
      <c r="A332" s="162"/>
      <c r="B332" s="163"/>
      <c r="C332" s="163" t="s">
        <v>16</v>
      </c>
      <c r="D332" s="574" t="s">
        <v>20</v>
      </c>
      <c r="E332" s="575"/>
      <c r="F332" s="575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749550</v>
      </c>
      <c r="M333" s="173">
        <f ca="1">IFERROR(__xludf.DUMMYFUNCTION("IMPORTRANGE(""https://docs.google.com/spreadsheets/d/1Yj_ptqi66GCucihVvJfMjLAmec39IyEx_6qawtMGysU/edit?usp=sharing"",""สบก!DL83"")"),857600)</f>
        <v>857600</v>
      </c>
      <c r="N333" s="174">
        <f ca="1">IFERROR(__xludf.DUMMYFUNCTION("IMPORTRANGE(""https://docs.google.com/spreadsheets/d/1Yj_ptqi66GCucihVvJfMjLAmec39IyEx_6qawtMGysU/edit?usp=sharing"",""สบก!DM83"")"),748324.51)</f>
        <v>748324.51</v>
      </c>
      <c r="O333" s="175">
        <f ca="1">IF(L333&gt;0,N333*100/L333,0)</f>
        <v>99.836503235274492</v>
      </c>
      <c r="P333" s="175">
        <f ca="1">IF(M333&gt;0,N333*100/M333,0)</f>
        <v>87.257988572761192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IFERROR(__xludf.DUMMYFUNCTION("IMPORTRANGE(""https://docs.google.com/spreadsheets/d/1Yj_ptqi66GCucihVvJfMjLAmec39IyEx_6qawtMGysU/edit?usp=sharing"",""สบก!DH83"")"),388800)</f>
        <v>388800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IFERROR(__xludf.DUMMYFUNCTION("IMPORTRANGE(""https://docs.google.com/spreadsheets/d/1Yj_ptqi66GCucihVvJfMjLAmec39IyEx_6qawtMGysU/edit?usp=sharing"",""สบก!DI83"")"),360750)</f>
        <v>360750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6" t="s">
        <v>23</v>
      </c>
      <c r="E336" s="575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IFERROR(__xludf.DUMMYFUNCTION("IMPORTRANGE(""https://docs.google.com/spreadsheets/d/1Yj_ptqi66GCucihVvJfMjLAmec39IyEx_6qawtMGysU/edit?usp=sharing"",""สบก!DJ83"")"),151200)</f>
        <v>151200</v>
      </c>
      <c r="M337" s="101">
        <f ca="1">L337</f>
        <v>151200</v>
      </c>
      <c r="N337" s="91">
        <f ca="1">IFERROR(__xludf.DUMMYFUNCTION("IMPORTRANGE(""https://docs.google.com/spreadsheets/d/1Yj_ptqi66GCucihVvJfMjLAmec39IyEx_6qawtMGysU/edit?usp=sharing"",""สบก!DN83"")"),151200)</f>
        <v>151200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IFERROR(__xludf.DUMMYFUNCTION("IMPORTRANGE(""https://docs.google.com/spreadsheets/d/1IYY_tgx_IHuhSq3AJ5eI5OnqOPBNLWSHKh2a30DoXe8/edit?usp=sharing"",""ตรัง!I234"")"),0)</f>
        <v>0</v>
      </c>
      <c r="J339" s="194">
        <f ca="1">IFERROR(__xludf.DUMMYFUNCTION("IMPORTRANGE(""https://docs.google.com/spreadsheets/d/1IYY_tgx_IHuhSq3AJ5eI5OnqOPBNLWSHKh2a30DoXe8/edit?usp=sharing"",""ตรัง!J234"")"),301)</f>
        <v>301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IFERROR(__xludf.DUMMYFUNCTION("IMPORTRANGE(""https://docs.google.com/spreadsheets/d/1IYY_tgx_IHuhSq3AJ5eI5OnqOPBNLWSHKh2a30DoXe8/edit?usp=sharing"",""ตรัง!I235"")"),1840)</f>
        <v>1840</v>
      </c>
      <c r="J340" s="194">
        <f ca="1">IFERROR(__xludf.DUMMYFUNCTION("IMPORTRANGE(""https://docs.google.com/spreadsheets/d/1IYY_tgx_IHuhSq3AJ5eI5OnqOPBNLWSHKh2a30DoXe8/edit?usp=sharing"",""ตรัง!J235"")"),1996.45)</f>
        <v>1996.45</v>
      </c>
      <c r="K340" s="348">
        <f t="shared" ca="1" si="103"/>
        <v>108.50271739130434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IFERROR(__xludf.DUMMYFUNCTION("IMPORTRANGE(""https://docs.google.com/spreadsheets/d/1IYY_tgx_IHuhSq3AJ5eI5OnqOPBNLWSHKh2a30DoXe8/edit?usp=sharing"",""ตรัง!I236"")"),263)</f>
        <v>263</v>
      </c>
      <c r="J341" s="194">
        <f ca="1">IFERROR(__xludf.DUMMYFUNCTION("IMPORTRANGE(""https://docs.google.com/spreadsheets/d/1IYY_tgx_IHuhSq3AJ5eI5OnqOPBNLWSHKh2a30DoXe8/edit?usp=sharing"",""ตรัง!J236"")"),356)</f>
        <v>356</v>
      </c>
      <c r="K341" s="348">
        <f t="shared" ca="1" si="103"/>
        <v>135.36121673003802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IFERROR(__xludf.DUMMYFUNCTION("IMPORTRANGE(""https://docs.google.com/spreadsheets/d/1IYY_tgx_IHuhSq3AJ5eI5OnqOPBNLWSHKh2a30DoXe8/edit?usp=sharing"",""ตรัง!I237"")"),0)</f>
        <v>0</v>
      </c>
      <c r="J342" s="194">
        <f ca="1">IFERROR(__xludf.DUMMYFUNCTION("IMPORTRANGE(""https://docs.google.com/spreadsheets/d/1IYY_tgx_IHuhSq3AJ5eI5OnqOPBNLWSHKh2a30DoXe8/edit?usp=sharing"",""ตรัง!J237"")"),3365.04)</f>
        <v>3365.04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IFERROR(__xludf.DUMMYFUNCTION("IMPORTRANGE(""https://docs.google.com/spreadsheets/d/1IYY_tgx_IHuhSq3AJ5eI5OnqOPBNLWSHKh2a30DoXe8/edit?usp=sharing"",""ตรัง!I238"")"),263)</f>
        <v>263</v>
      </c>
      <c r="J343" s="194">
        <f ca="1">IFERROR(__xludf.DUMMYFUNCTION("IMPORTRANGE(""https://docs.google.com/spreadsheets/d/1IYY_tgx_IHuhSq3AJ5eI5OnqOPBNLWSHKh2a30DoXe8/edit?usp=sharing"",""ตรัง!J238"")"),0)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IFERROR(__xludf.DUMMYFUNCTION("IMPORTRANGE(""https://docs.google.com/spreadsheets/d/1IYY_tgx_IHuhSq3AJ5eI5OnqOPBNLWSHKh2a30DoXe8/edit?usp=sharing"",""ตรัง!I239"")"),0)</f>
        <v>0</v>
      </c>
      <c r="J344" s="194">
        <f ca="1">IFERROR(__xludf.DUMMYFUNCTION("IMPORTRANGE(""https://docs.google.com/spreadsheets/d/1IYY_tgx_IHuhSq3AJ5eI5OnqOPBNLWSHKh2a30DoXe8/edit?usp=sharing"",""ตรัง!J239"")"),0)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IFERROR(__xludf.DUMMYFUNCTION("IMPORTRANGE(""https://docs.google.com/spreadsheets/d/1IYY_tgx_IHuhSq3AJ5eI5OnqOPBNLWSHKh2a30DoXe8/edit?usp=sharing"",""ตรัง!I240"")"),263)</f>
        <v>263</v>
      </c>
      <c r="J345" s="194">
        <f ca="1">IFERROR(__xludf.DUMMYFUNCTION("IMPORTRANGE(""https://docs.google.com/spreadsheets/d/1IYY_tgx_IHuhSq3AJ5eI5OnqOPBNLWSHKh2a30DoXe8/edit?usp=sharing"",""ตรัง!J240"")"),343)</f>
        <v>343</v>
      </c>
      <c r="K345" s="348">
        <f t="shared" ca="1" si="103"/>
        <v>130.41825095057035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IFERROR(__xludf.DUMMYFUNCTION("IMPORTRANGE(""https://docs.google.com/spreadsheets/d/1IYY_tgx_IHuhSq3AJ5eI5OnqOPBNLWSHKh2a30DoXe8/edit?usp=sharing"",""ตรัง!I241"")"),0)</f>
        <v>0</v>
      </c>
      <c r="J346" s="194">
        <f ca="1">IFERROR(__xludf.DUMMYFUNCTION("IMPORTRANGE(""https://docs.google.com/spreadsheets/d/1IYY_tgx_IHuhSq3AJ5eI5OnqOPBNLWSHKh2a30DoXe8/edit?usp=sharing"",""ตรัง!J241"")"),3256.66)</f>
        <v>3256.66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IFERROR(__xludf.DUMMYFUNCTION("IMPORTRANGE(""https://docs.google.com/spreadsheets/d/1IYY_tgx_IHuhSq3AJ5eI5OnqOPBNLWSHKh2a30DoXe8/edit?usp=sharing"",""ตรัง!L242"")"),1239148)</f>
        <v>1239148</v>
      </c>
      <c r="M347" s="364"/>
      <c r="N347" s="364">
        <f ca="1">IFERROR(__xludf.DUMMYFUNCTION("IMPORTRANGE(""https://docs.google.com/spreadsheets/d/1IYY_tgx_IHuhSq3AJ5eI5OnqOPBNLWSHKh2a30DoXe8/edit?usp=sharing"",""ตรัง!M242"")"),790732.469999999)</f>
        <v>790732.46999999904</v>
      </c>
      <c r="O347" s="364">
        <f ca="1">+IF(L347&gt;0,N347*100/L347,0)</f>
        <v>63.812593007453437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IFERROR(__xludf.DUMMYFUNCTION("IMPORTRANGE(""https://docs.google.com/spreadsheets/d/1IYY_tgx_IHuhSq3AJ5eI5OnqOPBNLWSHKh2a30DoXe8/edit?usp=sharing"",""ตรัง!I244"")"),70)</f>
        <v>70</v>
      </c>
      <c r="J349" s="377">
        <f ca="1">IFERROR(__xludf.DUMMYFUNCTION("IMPORTRANGE(""https://docs.google.com/spreadsheets/d/1IYY_tgx_IHuhSq3AJ5eI5OnqOPBNLWSHKh2a30DoXe8/edit?usp=sharing"",""ตรัง!J244"")"),70)</f>
        <v>70</v>
      </c>
      <c r="K349" s="378">
        <f t="shared" ref="K349:K350" ca="1" si="104">IF(I349&gt;0,J349*100/I349,0)</f>
        <v>100</v>
      </c>
      <c r="L349" s="379">
        <f ca="1">IFERROR(__xludf.DUMMYFUNCTION("IMPORTRANGE(""https://docs.google.com/spreadsheets/d/1IYY_tgx_IHuhSq3AJ5eI5OnqOPBNLWSHKh2a30DoXe8/edit?usp=sharing"",""ตรัง!L244"")"),274060)</f>
        <v>274060</v>
      </c>
      <c r="M349" s="379"/>
      <c r="N349" s="379">
        <f ca="1">IFERROR(__xludf.DUMMYFUNCTION("IMPORTRANGE(""https://docs.google.com/spreadsheets/d/1IYY_tgx_IHuhSq3AJ5eI5OnqOPBNLWSHKh2a30DoXe8/edit?usp=sharing"",""ตรัง!M244"")"),208159.78)</f>
        <v>208159.78</v>
      </c>
      <c r="O349" s="379">
        <f ca="1">+IF(L349&gt;0,N349*100/L349,0)</f>
        <v>75.954090345179893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IFERROR(__xludf.DUMMYFUNCTION("IMPORTRANGE(""https://docs.google.com/spreadsheets/d/1IYY_tgx_IHuhSq3AJ5eI5OnqOPBNLWSHKh2a30DoXe8/edit?usp=sharing"",""ตรัง!I245"")"),25)</f>
        <v>25</v>
      </c>
      <c r="J350" s="377">
        <f ca="1">IFERROR(__xludf.DUMMYFUNCTION("IMPORTRANGE(""https://docs.google.com/spreadsheets/d/1IYY_tgx_IHuhSq3AJ5eI5OnqOPBNLWSHKh2a30DoXe8/edit?usp=sharing"",""ตรัง!J245"")"),25)</f>
        <v>25</v>
      </c>
      <c r="K350" s="378">
        <f t="shared" ca="1" si="104"/>
        <v>100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IFERROR(__xludf.DUMMYFUNCTION("IMPORTRANGE(""https://docs.google.com/spreadsheets/d/1IYY_tgx_IHuhSq3AJ5eI5OnqOPBNLWSHKh2a30DoXe8/edit?usp=sharing"",""ตรัง!L246"")"),0)</f>
        <v>0</v>
      </c>
      <c r="M351" s="168"/>
      <c r="N351" s="168">
        <f ca="1">IFERROR(__xludf.DUMMYFUNCTION("IMPORTRANGE(""https://docs.google.com/spreadsheets/d/1IYY_tgx_IHuhSq3AJ5eI5OnqOPBNLWSHKh2a30DoXe8/edit?usp=sharing"",""ตรัง!M246"")"),0)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IFERROR(__xludf.DUMMYFUNCTION("IMPORTRANGE(""https://docs.google.com/spreadsheets/d/1IYY_tgx_IHuhSq3AJ5eI5OnqOPBNLWSHKh2a30DoXe8/edit?usp=sharing"",""ตรัง!L247"")"),274060)</f>
        <v>274060</v>
      </c>
      <c r="M352" s="169"/>
      <c r="N352" s="168">
        <f ca="1">IFERROR(__xludf.DUMMYFUNCTION("IMPORTRANGE(""https://docs.google.com/spreadsheets/d/1IYY_tgx_IHuhSq3AJ5eI5OnqOPBNLWSHKh2a30DoXe8/edit?usp=sharing"",""ตรัง!M247"")"),208159.78)</f>
        <v>208159.78</v>
      </c>
      <c r="O352" s="169">
        <f t="shared" ca="1" si="105"/>
        <v>75.954090345179893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IFERROR(__xludf.DUMMYFUNCTION("IMPORTRANGE(""https://docs.google.com/spreadsheets/d/1IYY_tgx_IHuhSq3AJ5eI5OnqOPBNLWSHKh2a30DoXe8/edit?usp=sharing"",""ตรัง!L248"")"),0)</f>
        <v>0</v>
      </c>
      <c r="M353" s="175"/>
      <c r="N353" s="175">
        <f ca="1">IFERROR(__xludf.DUMMYFUNCTION("IMPORTRANGE(""https://docs.google.com/spreadsheets/d/1IYY_tgx_IHuhSq3AJ5eI5OnqOPBNLWSHKh2a30DoXe8/edit?usp=sharing"",""ตรัง!M248"")"),0)</f>
        <v>0</v>
      </c>
      <c r="O353" s="175">
        <f t="shared" ca="1" si="105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IFERROR(__xludf.DUMMYFUNCTION("IMPORTRANGE(""https://docs.google.com/spreadsheets/d/1IYY_tgx_IHuhSq3AJ5eI5OnqOPBNLWSHKh2a30DoXe8/edit?usp=sharing"",""ตรัง!L249"")"),274060)</f>
        <v>274060</v>
      </c>
      <c r="M354" s="175"/>
      <c r="N354" s="172">
        <f ca="1">IFERROR(__xludf.DUMMYFUNCTION("IMPORTRANGE(""https://docs.google.com/spreadsheets/d/1IYY_tgx_IHuhSq3AJ5eI5OnqOPBNLWSHKh2a30DoXe8/edit?usp=sharing"",""ตรัง!M249"")"),208159.78)</f>
        <v>208159.78</v>
      </c>
      <c r="O354" s="175">
        <f t="shared" ca="1" si="105"/>
        <v>75.954090345179893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IFERROR(__xludf.DUMMYFUNCTION("IMPORTRANGE(""https://docs.google.com/spreadsheets/d/1IYY_tgx_IHuhSq3AJ5eI5OnqOPBNLWSHKh2a30DoXe8/edit?usp=sharing"",""ตรัง!M250"")"),33300)</f>
        <v>33300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IFERROR(__xludf.DUMMYFUNCTION("IMPORTRANGE(""https://docs.google.com/spreadsheets/d/1IYY_tgx_IHuhSq3AJ5eI5OnqOPBNLWSHKh2a30DoXe8/edit?usp=sharing"",""ตรัง!M251"")"),63670)</f>
        <v>63670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IFERROR(__xludf.DUMMYFUNCTION("IMPORTRANGE(""https://docs.google.com/spreadsheets/d/1IYY_tgx_IHuhSq3AJ5eI5OnqOPBNLWSHKh2a30DoXe8/edit?usp=sharing"",""ตรัง!M252"")"),97165)</f>
        <v>97165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IFERROR(__xludf.DUMMYFUNCTION("IMPORTRANGE(""https://docs.google.com/spreadsheets/d/1IYY_tgx_IHuhSq3AJ5eI5OnqOPBNLWSHKh2a30DoXe8/edit?usp=sharing"",""ตรัง!M253"")"),14024.78)</f>
        <v>14024.78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IFERROR(__xludf.DUMMYFUNCTION("IMPORTRANGE(""https://docs.google.com/spreadsheets/d/1IYY_tgx_IHuhSq3AJ5eI5OnqOPBNLWSHKh2a30DoXe8/edit?usp=sharing"",""ตรัง!J255"")"),0)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IFERROR(__xludf.DUMMYFUNCTION("IMPORTRANGE(""https://docs.google.com/spreadsheets/d/1IYY_tgx_IHuhSq3AJ5eI5OnqOPBNLWSHKh2a30DoXe8/edit?usp=sharing"",""ตรัง!J256"")"),1)</f>
        <v>1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IFERROR(__xludf.DUMMYFUNCTION("IMPORTRANGE(""https://docs.google.com/spreadsheets/d/1IYY_tgx_IHuhSq3AJ5eI5OnqOPBNLWSHKh2a30DoXe8/edit?usp=sharing"",""ตรัง!J257"")"),1)</f>
        <v>1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IFERROR(__xludf.DUMMYFUNCTION("IMPORTRANGE(""https://docs.google.com/spreadsheets/d/1IYY_tgx_IHuhSq3AJ5eI5OnqOPBNLWSHKh2a30DoXe8/edit?usp=sharing"",""ตรัง!J258"")"),1)</f>
        <v>1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IFERROR(__xludf.DUMMYFUNCTION("IMPORTRANGE(""https://docs.google.com/spreadsheets/d/1IYY_tgx_IHuhSq3AJ5eI5OnqOPBNLWSHKh2a30DoXe8/edit?usp=sharing"",""ตรัง!J166"")"),0)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IFERROR(__xludf.DUMMYFUNCTION("IMPORTRANGE(""https://docs.google.com/spreadsheets/d/1IYY_tgx_IHuhSq3AJ5eI5OnqOPBNLWSHKh2a30DoXe8/edit?usp=sharing"",""ตรัง!J166"")"),0)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IFERROR(__xludf.DUMMYFUNCTION("IMPORTRANGE(""https://docs.google.com/spreadsheets/d/1IYY_tgx_IHuhSq3AJ5eI5OnqOPBNLWSHKh2a30DoXe8/edit?usp=sharing"",""ตรัง!J166"")"),0)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IFERROR(__xludf.DUMMYFUNCTION("IMPORTRANGE(""https://docs.google.com/spreadsheets/d/1IYY_tgx_IHuhSq3AJ5eI5OnqOPBNLWSHKh2a30DoXe8/edit?usp=sharing"",""ตรัง!J166"")"),0)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IFERROR(__xludf.DUMMYFUNCTION("IMPORTRANGE(""https://docs.google.com/spreadsheets/d/1IYY_tgx_IHuhSq3AJ5eI5OnqOPBNLWSHKh2a30DoXe8/edit?usp=sharing"",""ตรัง!I263"")"),25)</f>
        <v>25</v>
      </c>
      <c r="J368" s="194">
        <f ca="1">IFERROR(__xludf.DUMMYFUNCTION("IMPORTRANGE(""https://docs.google.com/spreadsheets/d/1IYY_tgx_IHuhSq3AJ5eI5OnqOPBNLWSHKh2a30DoXe8/edit?usp=sharing"",""ตรัง!J263"")"),25)</f>
        <v>25</v>
      </c>
      <c r="K368" s="167">
        <f t="shared" ca="1" si="106"/>
        <v>100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IFERROR(__xludf.DUMMYFUNCTION("IMPORTRANGE(""https://docs.google.com/spreadsheets/d/1IYY_tgx_IHuhSq3AJ5eI5OnqOPBNLWSHKh2a30DoXe8/edit?usp=sharing"",""ตรัง!I164"")"),0)</f>
        <v>0</v>
      </c>
      <c r="J369" s="210">
        <f ca="1">IFERROR(__xludf.DUMMYFUNCTION("IMPORTRANGE(""https://docs.google.com/spreadsheets/d/1IYY_tgx_IHuhSq3AJ5eI5OnqOPBNLWSHKh2a30DoXe8/edit?usp=sharing"",""ตรัง!J164"")"),0)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IFERROR(__xludf.DUMMYFUNCTION("IMPORTRANGE(""https://docs.google.com/spreadsheets/d/1IYY_tgx_IHuhSq3AJ5eI5OnqOPBNLWSHKh2a30DoXe8/edit?usp=sharing"",""ตรัง!I265"")"),25)</f>
        <v>25</v>
      </c>
      <c r="J370" s="210">
        <f ca="1">IFERROR(__xludf.DUMMYFUNCTION("IMPORTRANGE(""https://docs.google.com/spreadsheets/d/1IYY_tgx_IHuhSq3AJ5eI5OnqOPBNLWSHKh2a30DoXe8/edit?usp=sharing"",""ตรัง!J265"")"),25)</f>
        <v>25</v>
      </c>
      <c r="K370" s="167">
        <f t="shared" ca="1" si="106"/>
        <v>100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IFERROR(__xludf.DUMMYFUNCTION("IMPORTRANGE(""https://docs.google.com/spreadsheets/d/1IYY_tgx_IHuhSq3AJ5eI5OnqOPBNLWSHKh2a30DoXe8/edit?usp=sharing"",""ตรัง!I164"")"),0)</f>
        <v>0</v>
      </c>
      <c r="J371" s="195">
        <f ca="1">IFERROR(__xludf.DUMMYFUNCTION("IMPORTRANGE(""https://docs.google.com/spreadsheets/d/1IYY_tgx_IHuhSq3AJ5eI5OnqOPBNLWSHKh2a30DoXe8/edit?usp=sharing"",""ตรัง!J164"")"),0)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IFERROR(__xludf.DUMMYFUNCTION("IMPORTRANGE(""https://docs.google.com/spreadsheets/d/1IYY_tgx_IHuhSq3AJ5eI5OnqOPBNLWSHKh2a30DoXe8/edit?usp=sharing"",""ตรัง!I267"")"),25)</f>
        <v>25</v>
      </c>
      <c r="J372" s="195">
        <f ca="1">IFERROR(__xludf.DUMMYFUNCTION("IMPORTRANGE(""https://docs.google.com/spreadsheets/d/1IYY_tgx_IHuhSq3AJ5eI5OnqOPBNLWSHKh2a30DoXe8/edit?usp=sharing"",""ตรัง!J267"")"),25)</f>
        <v>25</v>
      </c>
      <c r="K372" s="167">
        <f t="shared" ca="1" si="106"/>
        <v>100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IFERROR(__xludf.DUMMYFUNCTION("IMPORTRANGE(""https://docs.google.com/spreadsheets/d/1IYY_tgx_IHuhSq3AJ5eI5OnqOPBNLWSHKh2a30DoXe8/edit?usp=sharing"",""ตรัง!I164"")"),0)</f>
        <v>0</v>
      </c>
      <c r="J373" s="210">
        <f ca="1">IFERROR(__xludf.DUMMYFUNCTION("IMPORTRANGE(""https://docs.google.com/spreadsheets/d/1IYY_tgx_IHuhSq3AJ5eI5OnqOPBNLWSHKh2a30DoXe8/edit?usp=sharing"",""ตรัง!J164"")"),0)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IFERROR(__xludf.DUMMYFUNCTION("IMPORTRANGE(""https://docs.google.com/spreadsheets/d/1IYY_tgx_IHuhSq3AJ5eI5OnqOPBNLWSHKh2a30DoXe8/edit?usp=sharing"",""ตรัง!I164"")"),0)</f>
        <v>0</v>
      </c>
      <c r="J374" s="194">
        <f ca="1">IFERROR(__xludf.DUMMYFUNCTION("IMPORTRANGE(""https://docs.google.com/spreadsheets/d/1IYY_tgx_IHuhSq3AJ5eI5OnqOPBNLWSHKh2a30DoXe8/edit?usp=sharing"",""ตรัง!J164"")"),0)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IFERROR(__xludf.DUMMYFUNCTION("IMPORTRANGE(""https://docs.google.com/spreadsheets/d/1IYY_tgx_IHuhSq3AJ5eI5OnqOPBNLWSHKh2a30DoXe8/edit?usp=sharing"",""ตรัง!I270"")"),70)</f>
        <v>70</v>
      </c>
      <c r="J375" s="194">
        <f ca="1">IFERROR(__xludf.DUMMYFUNCTION("IMPORTRANGE(""https://docs.google.com/spreadsheets/d/1IYY_tgx_IHuhSq3AJ5eI5OnqOPBNLWSHKh2a30DoXe8/edit?usp=sharing"",""ตรัง!J270"")"),70)</f>
        <v>70</v>
      </c>
      <c r="K375" s="167">
        <f t="shared" ref="K375:K377" ca="1" si="107">IF(I375&gt;0,J375*100/I375,0)</f>
        <v>100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IFERROR(__xludf.DUMMYFUNCTION("IMPORTRANGE(""https://docs.google.com/spreadsheets/d/1IYY_tgx_IHuhSq3AJ5eI5OnqOPBNLWSHKh2a30DoXe8/edit?usp=sharing"",""ตรัง!I271"")"),0)</f>
        <v>0</v>
      </c>
      <c r="J376" s="195">
        <f ca="1">IFERROR(__xludf.DUMMYFUNCTION("IMPORTRANGE(""https://docs.google.com/spreadsheets/d/1IYY_tgx_IHuhSq3AJ5eI5OnqOPBNLWSHKh2a30DoXe8/edit?usp=sharing"",""ตรัง!J271"")"),0)</f>
        <v>0</v>
      </c>
      <c r="K376" s="167">
        <f t="shared" ca="1" si="107"/>
        <v>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IFERROR(__xludf.DUMMYFUNCTION("IMPORTRANGE(""https://docs.google.com/spreadsheets/d/1IYY_tgx_IHuhSq3AJ5eI5OnqOPBNLWSHKh2a30DoXe8/edit?usp=sharing"",""ตรัง!I272"")"),70)</f>
        <v>70</v>
      </c>
      <c r="J377" s="210">
        <f ca="1">IFERROR(__xludf.DUMMYFUNCTION("IMPORTRANGE(""https://docs.google.com/spreadsheets/d/1IYY_tgx_IHuhSq3AJ5eI5OnqOPBNLWSHKh2a30DoXe8/edit?usp=sharing"",""ตรัง!J272"")"),70)</f>
        <v>70</v>
      </c>
      <c r="K377" s="167">
        <f t="shared" ca="1" si="107"/>
        <v>100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IFERROR(__xludf.DUMMYFUNCTION("IMPORTRANGE(""https://docs.google.com/spreadsheets/d/1IYY_tgx_IHuhSq3AJ5eI5OnqOPBNLWSHKh2a30DoXe8/edit?usp=sharing"",""ตรัง!J273"")"),0)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IFERROR(__xludf.DUMMYFUNCTION("IMPORTRANGE(""https://docs.google.com/spreadsheets/d/1IYY_tgx_IHuhSq3AJ5eI5OnqOPBNLWSHKh2a30DoXe8/edit?usp=sharing"",""ตรัง!J274"")"),0)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IFERROR(__xludf.DUMMYFUNCTION("IMPORTRANGE(""https://docs.google.com/spreadsheets/d/1IYY_tgx_IHuhSq3AJ5eI5OnqOPBNLWSHKh2a30DoXe8/edit?usp=sharing"",""ตรัง!I275"")"),300)</f>
        <v>300</v>
      </c>
      <c r="J380" s="377">
        <f ca="1">IFERROR(__xludf.DUMMYFUNCTION("IMPORTRANGE(""https://docs.google.com/spreadsheets/d/1IYY_tgx_IHuhSq3AJ5eI5OnqOPBNLWSHKh2a30DoXe8/edit?usp=sharing"",""ตรัง!J275"")"),300)</f>
        <v>300</v>
      </c>
      <c r="K380" s="378">
        <f t="shared" ref="K380:K381" ca="1" si="108">IF(I380&gt;0,J380*100/I380,0)</f>
        <v>100</v>
      </c>
      <c r="L380" s="379">
        <f ca="1">IFERROR(__xludf.DUMMYFUNCTION("IMPORTRANGE(""https://docs.google.com/spreadsheets/d/1IYY_tgx_IHuhSq3AJ5eI5OnqOPBNLWSHKh2a30DoXe8/edit?usp=sharing"",""ตรัง!L275"")"),293900)</f>
        <v>293900</v>
      </c>
      <c r="M380" s="379"/>
      <c r="N380" s="379">
        <f ca="1">IFERROR(__xludf.DUMMYFUNCTION("IMPORTRANGE(""https://docs.google.com/spreadsheets/d/1IYY_tgx_IHuhSq3AJ5eI5OnqOPBNLWSHKh2a30DoXe8/edit?usp=sharing"",""ตรัง!M275"")"),182736.62)</f>
        <v>182736.62</v>
      </c>
      <c r="O380" s="379">
        <f ca="1">+IF(L380&gt;0,N380*100/L380,0)</f>
        <v>62.17646138142225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IFERROR(__xludf.DUMMYFUNCTION("IMPORTRANGE(""https://docs.google.com/spreadsheets/d/1IYY_tgx_IHuhSq3AJ5eI5OnqOPBNLWSHKh2a30DoXe8/edit?usp=sharing"",""ตรัง!I276"")"),30)</f>
        <v>30</v>
      </c>
      <c r="J381" s="377">
        <f ca="1">IFERROR(__xludf.DUMMYFUNCTION("IMPORTRANGE(""https://docs.google.com/spreadsheets/d/1IYY_tgx_IHuhSq3AJ5eI5OnqOPBNLWSHKh2a30DoXe8/edit?usp=sharing"",""ตรัง!J276"")"),30)</f>
        <v>30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IFERROR(__xludf.DUMMYFUNCTION("IMPORTRANGE(""https://docs.google.com/spreadsheets/d/1IYY_tgx_IHuhSq3AJ5eI5OnqOPBNLWSHKh2a30DoXe8/edit?usp=sharing"",""ตรัง!L277"")"),0)</f>
        <v>0</v>
      </c>
      <c r="M382" s="168"/>
      <c r="N382" s="168">
        <f ca="1">IFERROR(__xludf.DUMMYFUNCTION("IMPORTRANGE(""https://docs.google.com/spreadsheets/d/1IYY_tgx_IHuhSq3AJ5eI5OnqOPBNLWSHKh2a30DoXe8/edit?usp=sharing"",""ตรัง!M277"")"),0)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IFERROR(__xludf.DUMMYFUNCTION("IMPORTRANGE(""https://docs.google.com/spreadsheets/d/1IYY_tgx_IHuhSq3AJ5eI5OnqOPBNLWSHKh2a30DoXe8/edit?usp=sharing"",""ตรัง!L278"")"),293900)</f>
        <v>293900</v>
      </c>
      <c r="M383" s="169"/>
      <c r="N383" s="169">
        <f ca="1">IFERROR(__xludf.DUMMYFUNCTION("IMPORTRANGE(""https://docs.google.com/spreadsheets/d/1IYY_tgx_IHuhSq3AJ5eI5OnqOPBNLWSHKh2a30DoXe8/edit?usp=sharing"",""ตรัง!M278"")"),182736.62)</f>
        <v>182736.62</v>
      </c>
      <c r="O383" s="169">
        <f t="shared" ca="1" si="109"/>
        <v>62.17646138142225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IFERROR(__xludf.DUMMYFUNCTION("IMPORTRANGE(""https://docs.google.com/spreadsheets/d/1IYY_tgx_IHuhSq3AJ5eI5OnqOPBNLWSHKh2a30DoXe8/edit?usp=sharing"",""ตรัง!L279"")"),0)</f>
        <v>0</v>
      </c>
      <c r="M384" s="175"/>
      <c r="N384" s="175">
        <f ca="1">IFERROR(__xludf.DUMMYFUNCTION("IMPORTRANGE(""https://docs.google.com/spreadsheets/d/1IYY_tgx_IHuhSq3AJ5eI5OnqOPBNLWSHKh2a30DoXe8/edit?usp=sharing"",""ตรัง!M279"")"),0)</f>
        <v>0</v>
      </c>
      <c r="O384" s="175">
        <f t="shared" ca="1" si="109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IFERROR(__xludf.DUMMYFUNCTION("IMPORTRANGE(""https://docs.google.com/spreadsheets/d/1IYY_tgx_IHuhSq3AJ5eI5OnqOPBNLWSHKh2a30DoXe8/edit?usp=sharing"",""ตรัง!L280"")"),293900)</f>
        <v>293900</v>
      </c>
      <c r="M385" s="175"/>
      <c r="N385" s="172">
        <f ca="1">IFERROR(__xludf.DUMMYFUNCTION("IMPORTRANGE(""https://docs.google.com/spreadsheets/d/1IYY_tgx_IHuhSq3AJ5eI5OnqOPBNLWSHKh2a30DoXe8/edit?usp=sharing"",""ตรัง!M280"")"),182736.62)</f>
        <v>182736.62</v>
      </c>
      <c r="O385" s="175">
        <f t="shared" ca="1" si="109"/>
        <v>62.17646138142225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IFERROR(__xludf.DUMMYFUNCTION("IMPORTRANGE(""https://docs.google.com/spreadsheets/d/1IYY_tgx_IHuhSq3AJ5eI5OnqOPBNLWSHKh2a30DoXe8/edit?usp=sharing"",""ตรัง!M281"")"),76200)</f>
        <v>76200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IFERROR(__xludf.DUMMYFUNCTION("IMPORTRANGE(""https://docs.google.com/spreadsheets/d/1IYY_tgx_IHuhSq3AJ5eI5OnqOPBNLWSHKh2a30DoXe8/edit?usp=sharing"",""ตรัง!M282"")"),82350)</f>
        <v>82350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IFERROR(__xludf.DUMMYFUNCTION("IMPORTRANGE(""https://docs.google.com/spreadsheets/d/1IYY_tgx_IHuhSq3AJ5eI5OnqOPBNLWSHKh2a30DoXe8/edit?usp=sharing"",""ตรัง!M283"")"),0)</f>
        <v>0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IFERROR(__xludf.DUMMYFUNCTION("IMPORTRANGE(""https://docs.google.com/spreadsheets/d/1IYY_tgx_IHuhSq3AJ5eI5OnqOPBNLWSHKh2a30DoXe8/edit?usp=sharing"",""ตรัง!M284"")"),24186.62)</f>
        <v>24186.62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IFERROR(__xludf.DUMMYFUNCTION("IMPORTRANGE(""https://docs.google.com/spreadsheets/d/1IYY_tgx_IHuhSq3AJ5eI5OnqOPBNLWSHKh2a30DoXe8/edit?usp=sharing"",""ตรัง!J286"")"),0)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IFERROR(__xludf.DUMMYFUNCTION("IMPORTRANGE(""https://docs.google.com/spreadsheets/d/1IYY_tgx_IHuhSq3AJ5eI5OnqOPBNLWSHKh2a30DoXe8/edit?usp=sharing"",""ตรัง!J287"")"),1)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IFERROR(__xludf.DUMMYFUNCTION("IMPORTRANGE(""https://docs.google.com/spreadsheets/d/1IYY_tgx_IHuhSq3AJ5eI5OnqOPBNLWSHKh2a30DoXe8/edit?usp=sharing"",""ตรัง!J288"")"),1)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IFERROR(__xludf.DUMMYFUNCTION("IMPORTRANGE(""https://docs.google.com/spreadsheets/d/1IYY_tgx_IHuhSq3AJ5eI5OnqOPBNLWSHKh2a30DoXe8/edit?usp=sharing"",""ตรัง!J289"")"),1)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IFERROR(__xludf.DUMMYFUNCTION("IMPORTRANGE(""https://docs.google.com/spreadsheets/d/1IYY_tgx_IHuhSq3AJ5eI5OnqOPBNLWSHKh2a30DoXe8/edit?usp=sharing"",""ตรัง!I291"")"),30)</f>
        <v>30</v>
      </c>
      <c r="J396" s="204">
        <f ca="1">IFERROR(__xludf.DUMMYFUNCTION("IMPORTRANGE(""https://docs.google.com/spreadsheets/d/1IYY_tgx_IHuhSq3AJ5eI5OnqOPBNLWSHKh2a30DoXe8/edit?usp=sharing"",""ตรัง!J291"")"),30)</f>
        <v>30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IFERROR(__xludf.DUMMYFUNCTION("IMPORTRANGE(""https://docs.google.com/spreadsheets/d/1IYY_tgx_IHuhSq3AJ5eI5OnqOPBNLWSHKh2a30DoXe8/edit?usp=sharing"",""ตรัง!I292"")"),300)</f>
        <v>300</v>
      </c>
      <c r="J397" s="204">
        <f ca="1">IFERROR(__xludf.DUMMYFUNCTION("IMPORTRANGE(""https://docs.google.com/spreadsheets/d/1IYY_tgx_IHuhSq3AJ5eI5OnqOPBNLWSHKh2a30DoXe8/edit?usp=sharing"",""ตรัง!J292"")"),300)</f>
        <v>300</v>
      </c>
      <c r="K397" s="167">
        <f t="shared" ca="1" si="110"/>
        <v>100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IFERROR(__xludf.DUMMYFUNCTION("IMPORTRANGE(""https://docs.google.com/spreadsheets/d/1IYY_tgx_IHuhSq3AJ5eI5OnqOPBNLWSHKh2a30DoXe8/edit?usp=sharing"",""ตรัง!I293"")"),30)</f>
        <v>30</v>
      </c>
      <c r="J398" s="204">
        <f ca="1">IFERROR(__xludf.DUMMYFUNCTION("IMPORTRANGE(""https://docs.google.com/spreadsheets/d/1IYY_tgx_IHuhSq3AJ5eI5OnqOPBNLWSHKh2a30DoXe8/edit?usp=sharing"",""ตรัง!J293"")"),30)</f>
        <v>30</v>
      </c>
      <c r="K398" s="167">
        <f t="shared" ca="1" si="110"/>
        <v>100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IFERROR(__xludf.DUMMYFUNCTION("IMPORTRANGE(""https://docs.google.com/spreadsheets/d/1IYY_tgx_IHuhSq3AJ5eI5OnqOPBNLWSHKh2a30DoXe8/edit?usp=sharing"",""ตรัง!J294"")"),0)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IFERROR(__xludf.DUMMYFUNCTION("IMPORTRANGE(""https://docs.google.com/spreadsheets/d/1IYY_tgx_IHuhSq3AJ5eI5OnqOPBNLWSHKh2a30DoXe8/edit?usp=sharing"",""ตรัง!J295"")"),0)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IFERROR(__xludf.DUMMYFUNCTION("IMPORTRANGE(""https://docs.google.com/spreadsheets/d/1IYY_tgx_IHuhSq3AJ5eI5OnqOPBNLWSHKh2a30DoXe8/edit?usp=sharing"",""ตรัง!I296"")"),105)</f>
        <v>105</v>
      </c>
      <c r="J401" s="377">
        <f ca="1">IFERROR(__xludf.DUMMYFUNCTION("IMPORTRANGE(""https://docs.google.com/spreadsheets/d/1IYY_tgx_IHuhSq3AJ5eI5OnqOPBNLWSHKh2a30DoXe8/edit?usp=sharing"",""ตรัง!J296"")"),105)</f>
        <v>105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IFERROR(__xludf.DUMMYFUNCTION("IMPORTRANGE(""https://docs.google.com/spreadsheets/d/1IYY_tgx_IHuhSq3AJ5eI5OnqOPBNLWSHKh2a30DoXe8/edit?usp=sharing"",""ตรัง!L296"")"),131810)</f>
        <v>131810</v>
      </c>
      <c r="M401" s="379"/>
      <c r="N401" s="379">
        <f ca="1">IFERROR(__xludf.DUMMYFUNCTION("IMPORTRANGE(""https://docs.google.com/spreadsheets/d/1IYY_tgx_IHuhSq3AJ5eI5OnqOPBNLWSHKh2a30DoXe8/edit?usp=sharing"",""ตรัง!M296"")"),118538.1)</f>
        <v>118538.1</v>
      </c>
      <c r="O401" s="379">
        <f ca="1">+IF(L401&gt;0,N401*100/L401,0)</f>
        <v>89.931037098854418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IFERROR(__xludf.DUMMYFUNCTION("IMPORTRANGE(""https://docs.google.com/spreadsheets/d/1IYY_tgx_IHuhSq3AJ5eI5OnqOPBNLWSHKh2a30DoXe8/edit?usp=sharing"",""ตรัง!I297"")"),35)</f>
        <v>35</v>
      </c>
      <c r="J402" s="377">
        <f ca="1">IFERROR(__xludf.DUMMYFUNCTION("IMPORTRANGE(""https://docs.google.com/spreadsheets/d/1IYY_tgx_IHuhSq3AJ5eI5OnqOPBNLWSHKh2a30DoXe8/edit?usp=sharing"",""ตรัง!J297"")"),35)</f>
        <v>35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IFERROR(__xludf.DUMMYFUNCTION("IMPORTRANGE(""https://docs.google.com/spreadsheets/d/1IYY_tgx_IHuhSq3AJ5eI5OnqOPBNLWSHKh2a30DoXe8/edit?usp=sharing"",""ตรัง!L298"")"),0)</f>
        <v>0</v>
      </c>
      <c r="M403" s="168"/>
      <c r="N403" s="175">
        <f ca="1">IFERROR(__xludf.DUMMYFUNCTION("IMPORTRANGE(""https://docs.google.com/spreadsheets/d/1IYY_tgx_IHuhSq3AJ5eI5OnqOPBNLWSHKh2a30DoXe8/edit?usp=sharing"",""ตรัง!M298"")"),0)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IFERROR(__xludf.DUMMYFUNCTION("IMPORTRANGE(""https://docs.google.com/spreadsheets/d/1IYY_tgx_IHuhSq3AJ5eI5OnqOPBNLWSHKh2a30DoXe8/edit?usp=sharing"",""ตรัง!L299"")"),131810)</f>
        <v>131810</v>
      </c>
      <c r="M404" s="169"/>
      <c r="N404" s="175">
        <f ca="1">IFERROR(__xludf.DUMMYFUNCTION("IMPORTRANGE(""https://docs.google.com/spreadsheets/d/1IYY_tgx_IHuhSq3AJ5eI5OnqOPBNLWSHKh2a30DoXe8/edit?usp=sharing"",""ตรัง!M299"")"),118538.1)</f>
        <v>118538.1</v>
      </c>
      <c r="O404" s="175">
        <f t="shared" ca="1" si="112"/>
        <v>89.931037098854418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IFERROR(__xludf.DUMMYFUNCTION("IMPORTRANGE(""https://docs.google.com/spreadsheets/d/1IYY_tgx_IHuhSq3AJ5eI5OnqOPBNLWSHKh2a30DoXe8/edit?usp=sharing"",""ตรัง!L300"")"),0)</f>
        <v>0</v>
      </c>
      <c r="M405" s="175"/>
      <c r="N405" s="175">
        <f ca="1">IFERROR(__xludf.DUMMYFUNCTION("IMPORTRANGE(""https://docs.google.com/spreadsheets/d/1IYY_tgx_IHuhSq3AJ5eI5OnqOPBNLWSHKh2a30DoXe8/edit?usp=sharing"",""ตรัง!M300"")"),0)</f>
        <v>0</v>
      </c>
      <c r="O405" s="175">
        <f t="shared" ca="1" si="112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IFERROR(__xludf.DUMMYFUNCTION("IMPORTRANGE(""https://docs.google.com/spreadsheets/d/1IYY_tgx_IHuhSq3AJ5eI5OnqOPBNLWSHKh2a30DoXe8/edit?usp=sharing"",""ตรัง!L301"")"),131810)</f>
        <v>131810</v>
      </c>
      <c r="M406" s="175"/>
      <c r="N406" s="175">
        <f ca="1">IFERROR(__xludf.DUMMYFUNCTION("IMPORTRANGE(""https://docs.google.com/spreadsheets/d/1IYY_tgx_IHuhSq3AJ5eI5OnqOPBNLWSHKh2a30DoXe8/edit?usp=sharing"",""ตรัง!M301"")"),118538.1)</f>
        <v>118538.1</v>
      </c>
      <c r="O406" s="175">
        <f t="shared" ca="1" si="112"/>
        <v>89.931037098854418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IFERROR(__xludf.DUMMYFUNCTION("IMPORTRANGE(""https://docs.google.com/spreadsheets/d/1IYY_tgx_IHuhSq3AJ5eI5OnqOPBNLWSHKh2a30DoXe8/edit?usp=sharing"",""ตรัง!M302"")"),76399.08)</f>
        <v>76399.08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IFERROR(__xludf.DUMMYFUNCTION("IMPORTRANGE(""https://docs.google.com/spreadsheets/d/1IYY_tgx_IHuhSq3AJ5eI5OnqOPBNLWSHKh2a30DoXe8/edit?usp=sharing"",""ตรัง!M303"")"),25470)</f>
        <v>25470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IFERROR(__xludf.DUMMYFUNCTION("IMPORTRANGE(""https://docs.google.com/spreadsheets/d/1IYY_tgx_IHuhSq3AJ5eI5OnqOPBNLWSHKh2a30DoXe8/edit?usp=sharing"",""ตรัง!M304"")"),0)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IFERROR(__xludf.DUMMYFUNCTION("IMPORTRANGE(""https://docs.google.com/spreadsheets/d/1IYY_tgx_IHuhSq3AJ5eI5OnqOPBNLWSHKh2a30DoXe8/edit?usp=sharing"",""ตรัง!M305"")"),16669.02)</f>
        <v>16669.02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IFERROR(__xludf.DUMMYFUNCTION("IMPORTRANGE(""https://docs.google.com/spreadsheets/d/1IYY_tgx_IHuhSq3AJ5eI5OnqOPBNLWSHKh2a30DoXe8/edit?usp=sharing"",""ตรัง!J307"")"),0)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IFERROR(__xludf.DUMMYFUNCTION("IMPORTRANGE(""https://docs.google.com/spreadsheets/d/1IYY_tgx_IHuhSq3AJ5eI5OnqOPBNLWSHKh2a30DoXe8/edit?usp=sharing"",""ตรัง!J308"")"),1)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IFERROR(__xludf.DUMMYFUNCTION("IMPORTRANGE(""https://docs.google.com/spreadsheets/d/1IYY_tgx_IHuhSq3AJ5eI5OnqOPBNLWSHKh2a30DoXe8/edit?usp=sharing"",""ตรัง!J309"")"),1)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IFERROR(__xludf.DUMMYFUNCTION("IMPORTRANGE(""https://docs.google.com/spreadsheets/d/1IYY_tgx_IHuhSq3AJ5eI5OnqOPBNLWSHKh2a30DoXe8/edit?usp=sharing"",""ตรัง!J310"")"),1)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IFERROR(__xludf.DUMMYFUNCTION("IMPORTRANGE(""https://docs.google.com/spreadsheets/d/1IYY_tgx_IHuhSq3AJ5eI5OnqOPBNLWSHKh2a30DoXe8/edit?usp=sharing"",""ตรัง!I311"")"),35)</f>
        <v>35</v>
      </c>
      <c r="J416" s="207">
        <f ca="1">IFERROR(__xludf.DUMMYFUNCTION("IMPORTRANGE(""https://docs.google.com/spreadsheets/d/1IYY_tgx_IHuhSq3AJ5eI5OnqOPBNLWSHKh2a30DoXe8/edit?usp=sharing"",""ตรัง!J311"")"),35)</f>
        <v>35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IFERROR(__xludf.DUMMYFUNCTION("IMPORTRANGE(""https://docs.google.com/spreadsheets/d/1IYY_tgx_IHuhSq3AJ5eI5OnqOPBNLWSHKh2a30DoXe8/edit?usp=sharing"",""ตรัง!I312"")"),10)</f>
        <v>10</v>
      </c>
      <c r="J417" s="398">
        <f ca="1">IFERROR(__xludf.DUMMYFUNCTION("IMPORTRANGE(""https://docs.google.com/spreadsheets/d/1IYY_tgx_IHuhSq3AJ5eI5OnqOPBNLWSHKh2a30DoXe8/edit?usp=sharing"",""ตรัง!J312"")"),10)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IFERROR(__xludf.DUMMYFUNCTION("IMPORTRANGE(""https://docs.google.com/spreadsheets/d/1IYY_tgx_IHuhSq3AJ5eI5OnqOPBNLWSHKh2a30DoXe8/edit?usp=sharing"",""ตรัง!I313"")"),30)</f>
        <v>30</v>
      </c>
      <c r="J418" s="399">
        <f ca="1">IFERROR(__xludf.DUMMYFUNCTION("IMPORTRANGE(""https://docs.google.com/spreadsheets/d/1IYY_tgx_IHuhSq3AJ5eI5OnqOPBNLWSHKh2a30DoXe8/edit?usp=sharing"",""ตรัง!J313"")"),30)</f>
        <v>30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IFERROR(__xludf.DUMMYFUNCTION("IMPORTRANGE(""https://docs.google.com/spreadsheets/d/1IYY_tgx_IHuhSq3AJ5eI5OnqOPBNLWSHKh2a30DoXe8/edit?usp=sharing"",""ตรัง!I314"")"),10)</f>
        <v>10</v>
      </c>
      <c r="J419" s="400">
        <f ca="1">IFERROR(__xludf.DUMMYFUNCTION("IMPORTRANGE(""https://docs.google.com/spreadsheets/d/1IYY_tgx_IHuhSq3AJ5eI5OnqOPBNLWSHKh2a30DoXe8/edit?usp=sharing"",""ตรัง!J314"")"),10)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IFERROR(__xludf.DUMMYFUNCTION("IMPORTRANGE(""https://docs.google.com/spreadsheets/d/1IYY_tgx_IHuhSq3AJ5eI5OnqOPBNLWSHKh2a30DoXe8/edit?usp=sharing"",""ตรัง!I315"")"),10)</f>
        <v>10</v>
      </c>
      <c r="J420" s="400">
        <f ca="1">IFERROR(__xludf.DUMMYFUNCTION("IMPORTRANGE(""https://docs.google.com/spreadsheets/d/1IYY_tgx_IHuhSq3AJ5eI5OnqOPBNLWSHKh2a30DoXe8/edit?usp=sharing"",""ตรัง!J315"")"),10)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IFERROR(__xludf.DUMMYFUNCTION("IMPORTRANGE(""https://docs.google.com/spreadsheets/d/1IYY_tgx_IHuhSq3AJ5eI5OnqOPBNLWSHKh2a30DoXe8/edit?usp=sharing"",""ตรัง!I316"")"),15)</f>
        <v>15</v>
      </c>
      <c r="J421" s="398">
        <f ca="1">IFERROR(__xludf.DUMMYFUNCTION("IMPORTRANGE(""https://docs.google.com/spreadsheets/d/1IYY_tgx_IHuhSq3AJ5eI5OnqOPBNLWSHKh2a30DoXe8/edit?usp=sharing"",""ตรัง!J316"")"),15)</f>
        <v>15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IFERROR(__xludf.DUMMYFUNCTION("IMPORTRANGE(""https://docs.google.com/spreadsheets/d/1IYY_tgx_IHuhSq3AJ5eI5OnqOPBNLWSHKh2a30DoXe8/edit?usp=sharing"",""ตรัง!I317"")"),45)</f>
        <v>45</v>
      </c>
      <c r="J422" s="399">
        <f ca="1">IFERROR(__xludf.DUMMYFUNCTION("IMPORTRANGE(""https://docs.google.com/spreadsheets/d/1IYY_tgx_IHuhSq3AJ5eI5OnqOPBNLWSHKh2a30DoXe8/edit?usp=sharing"",""ตรัง!J317"")"),45)</f>
        <v>45</v>
      </c>
      <c r="K422" s="208">
        <f t="shared" ca="1" si="113"/>
        <v>100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IFERROR(__xludf.DUMMYFUNCTION("IMPORTRANGE(""https://docs.google.com/spreadsheets/d/1IYY_tgx_IHuhSq3AJ5eI5OnqOPBNLWSHKh2a30DoXe8/edit?usp=sharing"",""ตรัง!I318"")"),15)</f>
        <v>15</v>
      </c>
      <c r="J423" s="400">
        <f ca="1">IFERROR(__xludf.DUMMYFUNCTION("IMPORTRANGE(""https://docs.google.com/spreadsheets/d/1IYY_tgx_IHuhSq3AJ5eI5OnqOPBNLWSHKh2a30DoXe8/edit?usp=sharing"",""ตรัง!J318"")"),15)</f>
        <v>15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IFERROR(__xludf.DUMMYFUNCTION("IMPORTRANGE(""https://docs.google.com/spreadsheets/d/1IYY_tgx_IHuhSq3AJ5eI5OnqOPBNLWSHKh2a30DoXe8/edit?usp=sharing"",""ตรัง!I319"")"),15)</f>
        <v>15</v>
      </c>
      <c r="J424" s="400">
        <f ca="1">IFERROR(__xludf.DUMMYFUNCTION("IMPORTRANGE(""https://docs.google.com/spreadsheets/d/1IYY_tgx_IHuhSq3AJ5eI5OnqOPBNLWSHKh2a30DoXe8/edit?usp=sharing"",""ตรัง!J319"")"),15)</f>
        <v>15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IFERROR(__xludf.DUMMYFUNCTION("IMPORTRANGE(""https://docs.google.com/spreadsheets/d/1IYY_tgx_IHuhSq3AJ5eI5OnqOPBNLWSHKh2a30DoXe8/edit?usp=sharing"",""ตรัง!I320"")"),15)</f>
        <v>15</v>
      </c>
      <c r="J425" s="400">
        <f ca="1">IFERROR(__xludf.DUMMYFUNCTION("IMPORTRANGE(""https://docs.google.com/spreadsheets/d/1IYY_tgx_IHuhSq3AJ5eI5OnqOPBNLWSHKh2a30DoXe8/edit?usp=sharing"",""ตรัง!J320"")"),15)</f>
        <v>15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IFERROR(__xludf.DUMMYFUNCTION("IMPORTRANGE(""https://docs.google.com/spreadsheets/d/1IYY_tgx_IHuhSq3AJ5eI5OnqOPBNLWSHKh2a30DoXe8/edit?usp=sharing"",""ตรัง!I321"")"),10)</f>
        <v>10</v>
      </c>
      <c r="J426" s="398">
        <f ca="1">IFERROR(__xludf.DUMMYFUNCTION("IMPORTRANGE(""https://docs.google.com/spreadsheets/d/1IYY_tgx_IHuhSq3AJ5eI5OnqOPBNLWSHKh2a30DoXe8/edit?usp=sharing"",""ตรัง!J321"")"),10)</f>
        <v>10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IFERROR(__xludf.DUMMYFUNCTION("IMPORTRANGE(""https://docs.google.com/spreadsheets/d/1IYY_tgx_IHuhSq3AJ5eI5OnqOPBNLWSHKh2a30DoXe8/edit?usp=sharing"",""ตรัง!I322"")"),30)</f>
        <v>30</v>
      </c>
      <c r="J427" s="399">
        <f ca="1">IFERROR(__xludf.DUMMYFUNCTION("IMPORTRANGE(""https://docs.google.com/spreadsheets/d/1IYY_tgx_IHuhSq3AJ5eI5OnqOPBNLWSHKh2a30DoXe8/edit?usp=sharing"",""ตรัง!J322"")"),30)</f>
        <v>30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IFERROR(__xludf.DUMMYFUNCTION("IMPORTRANGE(""https://docs.google.com/spreadsheets/d/1IYY_tgx_IHuhSq3AJ5eI5OnqOPBNLWSHKh2a30DoXe8/edit?usp=sharing"",""ตรัง!I323"")"),10)</f>
        <v>10</v>
      </c>
      <c r="J428" s="400">
        <f ca="1">IFERROR(__xludf.DUMMYFUNCTION("IMPORTRANGE(""https://docs.google.com/spreadsheets/d/1IYY_tgx_IHuhSq3AJ5eI5OnqOPBNLWSHKh2a30DoXe8/edit?usp=sharing"",""ตรัง!J323"")"),10)</f>
        <v>10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IFERROR(__xludf.DUMMYFUNCTION("IMPORTRANGE(""https://docs.google.com/spreadsheets/d/1IYY_tgx_IHuhSq3AJ5eI5OnqOPBNLWSHKh2a30DoXe8/edit?usp=sharing"",""ตรัง!I324"")"),10)</f>
        <v>10</v>
      </c>
      <c r="J429" s="400">
        <f ca="1">IFERROR(__xludf.DUMMYFUNCTION("IMPORTRANGE(""https://docs.google.com/spreadsheets/d/1IYY_tgx_IHuhSq3AJ5eI5OnqOPBNLWSHKh2a30DoXe8/edit?usp=sharing"",""ตรัง!J324"")"),10)</f>
        <v>10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IFERROR(__xludf.DUMMYFUNCTION("IMPORTRANGE(""https://docs.google.com/spreadsheets/d/1IYY_tgx_IHuhSq3AJ5eI5OnqOPBNLWSHKh2a30DoXe8/edit?usp=sharing"",""ตรัง!I325"")"),25)</f>
        <v>25</v>
      </c>
      <c r="J430" s="398">
        <f ca="1">IFERROR(__xludf.DUMMYFUNCTION("IMPORTRANGE(""https://docs.google.com/spreadsheets/d/1IYY_tgx_IHuhSq3AJ5eI5OnqOPBNLWSHKh2a30DoXe8/edit?usp=sharing"",""ตรัง!J325"")"),25)</f>
        <v>25</v>
      </c>
      <c r="K430" s="208">
        <f t="shared" ca="1" si="113"/>
        <v>100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IFERROR(__xludf.DUMMYFUNCTION("IMPORTRANGE(""https://docs.google.com/spreadsheets/d/1IYY_tgx_IHuhSq3AJ5eI5OnqOPBNLWSHKh2a30DoXe8/edit?usp=sharing"",""ตรัง!I326"")"),10)</f>
        <v>10</v>
      </c>
      <c r="J431" s="400">
        <f ca="1">IFERROR(__xludf.DUMMYFUNCTION("IMPORTRANGE(""https://docs.google.com/spreadsheets/d/1IYY_tgx_IHuhSq3AJ5eI5OnqOPBNLWSHKh2a30DoXe8/edit?usp=sharing"",""ตรัง!J326"")"),10)</f>
        <v>10</v>
      </c>
      <c r="K431" s="167">
        <f t="shared" ca="1" si="113"/>
        <v>100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IFERROR(__xludf.DUMMYFUNCTION("IMPORTRANGE(""https://docs.google.com/spreadsheets/d/1IYY_tgx_IHuhSq3AJ5eI5OnqOPBNLWSHKh2a30DoXe8/edit?usp=sharing"",""ตรัง!I327"")"),15)</f>
        <v>15</v>
      </c>
      <c r="J432" s="400">
        <f ca="1">IFERROR(__xludf.DUMMYFUNCTION("IMPORTRANGE(""https://docs.google.com/spreadsheets/d/1IYY_tgx_IHuhSq3AJ5eI5OnqOPBNLWSHKh2a30DoXe8/edit?usp=sharing"",""ตรัง!J327"")"),15)</f>
        <v>15</v>
      </c>
      <c r="K432" s="167">
        <f t="shared" ca="1" si="113"/>
        <v>100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IFERROR(__xludf.DUMMYFUNCTION("IMPORTRANGE(""https://docs.google.com/spreadsheets/d/1IYY_tgx_IHuhSq3AJ5eI5OnqOPBNLWSHKh2a30DoXe8/edit?usp=sharing"",""ตรัง!J328"")"),0)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IFERROR(__xludf.DUMMYFUNCTION("IMPORTRANGE(""https://docs.google.com/spreadsheets/d/1IYY_tgx_IHuhSq3AJ5eI5OnqOPBNLWSHKh2a30DoXe8/edit?usp=sharing"",""ตรัง!J329"")"),0)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IFERROR(__xludf.DUMMYFUNCTION("IMPORTRANGE(""https://docs.google.com/spreadsheets/d/1IYY_tgx_IHuhSq3AJ5eI5OnqOPBNLWSHKh2a30DoXe8/edit?usp=sharing"",""ตรัง!I330"")"),15)</f>
        <v>15</v>
      </c>
      <c r="J435" s="416">
        <f ca="1">IFERROR(__xludf.DUMMYFUNCTION("IMPORTRANGE(""https://docs.google.com/spreadsheets/d/1IYY_tgx_IHuhSq3AJ5eI5OnqOPBNLWSHKh2a30DoXe8/edit?usp=sharing"",""ตรัง!J330"")"),15)</f>
        <v>15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IFERROR(__xludf.DUMMYFUNCTION("IMPORTRANGE(""https://docs.google.com/spreadsheets/d/1IYY_tgx_IHuhSq3AJ5eI5OnqOPBNLWSHKh2a30DoXe8/edit?usp=sharing"",""ตรัง!L330"")"),88000)</f>
        <v>88000</v>
      </c>
      <c r="M435" s="418"/>
      <c r="N435" s="418">
        <f ca="1">IFERROR(__xludf.DUMMYFUNCTION("IMPORTRANGE(""https://docs.google.com/spreadsheets/d/1IYY_tgx_IHuhSq3AJ5eI5OnqOPBNLWSHKh2a30DoXe8/edit?usp=sharing"",""ตรัง!M330"")"),62717.19)</f>
        <v>62717.19</v>
      </c>
      <c r="O435" s="418">
        <f t="shared" ref="O435:O439" ca="1" si="114">+IF(L435&gt;0,N435*100/L435,0)</f>
        <v>71.26953409090909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IFERROR(__xludf.DUMMYFUNCTION("IMPORTRANGE(""https://docs.google.com/spreadsheets/d/1IYY_tgx_IHuhSq3AJ5eI5OnqOPBNLWSHKh2a30DoXe8/edit?usp=sharing"",""ตรัง!L331"")"),0)</f>
        <v>0</v>
      </c>
      <c r="M436" s="168"/>
      <c r="N436" s="175">
        <f ca="1">IFERROR(__xludf.DUMMYFUNCTION("IMPORTRANGE(""https://docs.google.com/spreadsheets/d/1IYY_tgx_IHuhSq3AJ5eI5OnqOPBNLWSHKh2a30DoXe8/edit?usp=sharing"",""ตรัง!M331"")"),0)</f>
        <v>0</v>
      </c>
      <c r="O436" s="175">
        <f t="shared" ca="1" si="114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IFERROR(__xludf.DUMMYFUNCTION("IMPORTRANGE(""https://docs.google.com/spreadsheets/d/1IYY_tgx_IHuhSq3AJ5eI5OnqOPBNLWSHKh2a30DoXe8/edit?usp=sharing"",""ตรัง!L332"")"),88000)</f>
        <v>88000</v>
      </c>
      <c r="M437" s="169"/>
      <c r="N437" s="175">
        <f ca="1">IFERROR(__xludf.DUMMYFUNCTION("IMPORTRANGE(""https://docs.google.com/spreadsheets/d/1IYY_tgx_IHuhSq3AJ5eI5OnqOPBNLWSHKh2a30DoXe8/edit?usp=sharing"",""ตรัง!M332"")"),62717.19)</f>
        <v>62717.19</v>
      </c>
      <c r="O437" s="175">
        <f t="shared" ca="1" si="114"/>
        <v>71.26953409090909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IFERROR(__xludf.DUMMYFUNCTION("IMPORTRANGE(""https://docs.google.com/spreadsheets/d/1IYY_tgx_IHuhSq3AJ5eI5OnqOPBNLWSHKh2a30DoXe8/edit?usp=sharing"",""ตรัง!L333"")"),0)</f>
        <v>0</v>
      </c>
      <c r="M438" s="175"/>
      <c r="N438" s="175">
        <f ca="1">IFERROR(__xludf.DUMMYFUNCTION("IMPORTRANGE(""https://docs.google.com/spreadsheets/d/1IYY_tgx_IHuhSq3AJ5eI5OnqOPBNLWSHKh2a30DoXe8/edit?usp=sharing"",""ตรัง!M333"")"),0)</f>
        <v>0</v>
      </c>
      <c r="O438" s="175">
        <f t="shared" ca="1" si="114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IFERROR(__xludf.DUMMYFUNCTION("IMPORTRANGE(""https://docs.google.com/spreadsheets/d/1IYY_tgx_IHuhSq3AJ5eI5OnqOPBNLWSHKh2a30DoXe8/edit?usp=sharing"",""ตรัง!L334"")"),88000)</f>
        <v>88000</v>
      </c>
      <c r="M439" s="175"/>
      <c r="N439" s="175">
        <f ca="1">IFERROR(__xludf.DUMMYFUNCTION("IMPORTRANGE(""https://docs.google.com/spreadsheets/d/1IYY_tgx_IHuhSq3AJ5eI5OnqOPBNLWSHKh2a30DoXe8/edit?usp=sharing"",""ตรัง!M334"")"),62717.19)</f>
        <v>62717.19</v>
      </c>
      <c r="O439" s="175">
        <f t="shared" ca="1" si="114"/>
        <v>71.26953409090909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IFERROR(__xludf.DUMMYFUNCTION("IMPORTRANGE(""https://docs.google.com/spreadsheets/d/1IYY_tgx_IHuhSq3AJ5eI5OnqOPBNLWSHKh2a30DoXe8/edit?usp=sharing"",""ตรัง!M335"")"),37126.25)</f>
        <v>37126.25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IFERROR(__xludf.DUMMYFUNCTION("IMPORTRANGE(""https://docs.google.com/spreadsheets/d/1IYY_tgx_IHuhSq3AJ5eI5OnqOPBNLWSHKh2a30DoXe8/edit?usp=sharing"",""ตรัง!M336"")"),0)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IFERROR(__xludf.DUMMYFUNCTION("IMPORTRANGE(""https://docs.google.com/spreadsheets/d/1IYY_tgx_IHuhSq3AJ5eI5OnqOPBNLWSHKh2a30DoXe8/edit?usp=sharing"",""ตรัง!M337"")"),0)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IFERROR(__xludf.DUMMYFUNCTION("IMPORTRANGE(""https://docs.google.com/spreadsheets/d/1IYY_tgx_IHuhSq3AJ5eI5OnqOPBNLWSHKh2a30DoXe8/edit?usp=sharing"",""ตรัง!M338"")"),25590.94)</f>
        <v>25590.94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IFERROR(__xludf.DUMMYFUNCTION("IMPORTRANGE(""https://docs.google.com/spreadsheets/d/1IYY_tgx_IHuhSq3AJ5eI5OnqOPBNLWSHKh2a30DoXe8/edit?usp=sharing"",""ตรัง!J340"")"),0)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IFERROR(__xludf.DUMMYFUNCTION("IMPORTRANGE(""https://docs.google.com/spreadsheets/d/1IYY_tgx_IHuhSq3AJ5eI5OnqOPBNLWSHKh2a30DoXe8/edit?usp=sharing"",""ตรัง!J341"")"),1)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IFERROR(__xludf.DUMMYFUNCTION("IMPORTRANGE(""https://docs.google.com/spreadsheets/d/1IYY_tgx_IHuhSq3AJ5eI5OnqOPBNLWSHKh2a30DoXe8/edit?usp=sharing"",""ตรัง!J342"")"),1)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IFERROR(__xludf.DUMMYFUNCTION("IMPORTRANGE(""https://docs.google.com/spreadsheets/d/1IYY_tgx_IHuhSq3AJ5eI5OnqOPBNLWSHKh2a30DoXe8/edit?usp=sharing"",""ตรัง!J343"")"),1)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IFERROR(__xludf.DUMMYFUNCTION("IMPORTRANGE(""https://docs.google.com/spreadsheets/d/1IYY_tgx_IHuhSq3AJ5eI5OnqOPBNLWSHKh2a30DoXe8/edit?usp=sharing"",""ตรัง!I344"")"),15)</f>
        <v>15</v>
      </c>
      <c r="J449" s="207">
        <f ca="1">IFERROR(__xludf.DUMMYFUNCTION("IMPORTRANGE(""https://docs.google.com/spreadsheets/d/1IYY_tgx_IHuhSq3AJ5eI5OnqOPBNLWSHKh2a30DoXe8/edit?usp=sharing"",""ตรัง!J344"")"),15)</f>
        <v>15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IFERROR(__xludf.DUMMYFUNCTION("IMPORTRANGE(""https://docs.google.com/spreadsheets/d/1IYY_tgx_IHuhSq3AJ5eI5OnqOPBNLWSHKh2a30DoXe8/edit?usp=sharing"",""ตรัง!I345"")"),15)</f>
        <v>15</v>
      </c>
      <c r="J450" s="195">
        <f ca="1">IFERROR(__xludf.DUMMYFUNCTION("IMPORTRANGE(""https://docs.google.com/spreadsheets/d/1IYY_tgx_IHuhSq3AJ5eI5OnqOPBNLWSHKh2a30DoXe8/edit?usp=sharing"",""ตรัง!J345"")"),15)</f>
        <v>15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IFERROR(__xludf.DUMMYFUNCTION("IMPORTRANGE(""https://docs.google.com/spreadsheets/d/1IYY_tgx_IHuhSq3AJ5eI5OnqOPBNLWSHKh2a30DoXe8/edit?usp=sharing"",""ตรัง!I346"")"),0)</f>
        <v>0</v>
      </c>
      <c r="J451" s="194">
        <f ca="1">IFERROR(__xludf.DUMMYFUNCTION("IMPORTRANGE(""https://docs.google.com/spreadsheets/d/1IYY_tgx_IHuhSq3AJ5eI5OnqOPBNLWSHKh2a30DoXe8/edit?usp=sharing"",""ตรัง!J346"")"),0)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IFERROR(__xludf.DUMMYFUNCTION("IMPORTRANGE(""https://docs.google.com/spreadsheets/d/1IYY_tgx_IHuhSq3AJ5eI5OnqOPBNLWSHKh2a30DoXe8/edit?usp=sharing"",""ตรัง!I347"")"),0)</f>
        <v>0</v>
      </c>
      <c r="J452" s="194">
        <f ca="1">IFERROR(__xludf.DUMMYFUNCTION("IMPORTRANGE(""https://docs.google.com/spreadsheets/d/1IYY_tgx_IHuhSq3AJ5eI5OnqOPBNLWSHKh2a30DoXe8/edit?usp=sharing"",""ตรัง!J347"")"),0)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IFERROR(__xludf.DUMMYFUNCTION("IMPORTRANGE(""https://docs.google.com/spreadsheets/d/1IYY_tgx_IHuhSq3AJ5eI5OnqOPBNLWSHKh2a30DoXe8/edit?usp=sharing"",""ตรัง!J348"")"),0)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IFERROR(__xludf.DUMMYFUNCTION("IMPORTRANGE(""https://docs.google.com/spreadsheets/d/1IYY_tgx_IHuhSq3AJ5eI5OnqOPBNLWSHKh2a30DoXe8/edit?usp=sharing"",""ตรัง!J349"")"),0)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IFERROR(__xludf.DUMMYFUNCTION("IMPORTRANGE(""https://docs.google.com/spreadsheets/d/1IYY_tgx_IHuhSq3AJ5eI5OnqOPBNLWSHKh2a30DoXe8/edit?usp=sharing"",""ตรัง!I350"")"),39755)</f>
        <v>39755</v>
      </c>
      <c r="J455" s="377">
        <f ca="1">IFERROR(__xludf.DUMMYFUNCTION("IMPORTRANGE(""https://docs.google.com/spreadsheets/d/1IYY_tgx_IHuhSq3AJ5eI5OnqOPBNLWSHKh2a30DoXe8/edit?usp=sharing"",""ตรัง!J350"")"),36628)</f>
        <v>36628</v>
      </c>
      <c r="K455" s="378">
        <f ca="1">IF(I455&gt;0,J455*100/I455,0)</f>
        <v>92.134322726701043</v>
      </c>
      <c r="L455" s="379">
        <f ca="1">IFERROR(__xludf.DUMMYFUNCTION("IMPORTRANGE(""https://docs.google.com/spreadsheets/d/1IYY_tgx_IHuhSq3AJ5eI5OnqOPBNLWSHKh2a30DoXe8/edit?usp=sharing"",""ตรัง!L350"")"),285318)</f>
        <v>285318</v>
      </c>
      <c r="M455" s="379"/>
      <c r="N455" s="379">
        <f ca="1">IFERROR(__xludf.DUMMYFUNCTION("IMPORTRANGE(""https://docs.google.com/spreadsheets/d/1IYY_tgx_IHuhSq3AJ5eI5OnqOPBNLWSHKh2a30DoXe8/edit?usp=sharing"",""ตรัง!M350"")"),76747.86)</f>
        <v>76747.86</v>
      </c>
      <c r="O455" s="379">
        <f t="shared" ref="O455:O459" ca="1" si="116">+IF(L455&gt;0,N455*100/L455,0)</f>
        <v>26.899059996214749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IFERROR(__xludf.DUMMYFUNCTION("IMPORTRANGE(""https://docs.google.com/spreadsheets/d/1IYY_tgx_IHuhSq3AJ5eI5OnqOPBNLWSHKh2a30DoXe8/edit?usp=sharing"",""ตรัง!L351"")"),0)</f>
        <v>0</v>
      </c>
      <c r="M456" s="168"/>
      <c r="N456" s="175">
        <f ca="1">IFERROR(__xludf.DUMMYFUNCTION("IMPORTRANGE(""https://docs.google.com/spreadsheets/d/1IYY_tgx_IHuhSq3AJ5eI5OnqOPBNLWSHKh2a30DoXe8/edit?usp=sharing"",""ตรัง!M351"")"),0)</f>
        <v>0</v>
      </c>
      <c r="O456" s="175">
        <f t="shared" ca="1" si="116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IFERROR(__xludf.DUMMYFUNCTION("IMPORTRANGE(""https://docs.google.com/spreadsheets/d/1IYY_tgx_IHuhSq3AJ5eI5OnqOPBNLWSHKh2a30DoXe8/edit?usp=sharing"",""ตรัง!L352"")"),285318)</f>
        <v>285318</v>
      </c>
      <c r="M457" s="169"/>
      <c r="N457" s="175">
        <f ca="1">IFERROR(__xludf.DUMMYFUNCTION("IMPORTRANGE(""https://docs.google.com/spreadsheets/d/1IYY_tgx_IHuhSq3AJ5eI5OnqOPBNLWSHKh2a30DoXe8/edit?usp=sharing"",""ตรัง!M352"")"),76747.86)</f>
        <v>76747.86</v>
      </c>
      <c r="O457" s="175">
        <f t="shared" ca="1" si="116"/>
        <v>26.899059996214749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IFERROR(__xludf.DUMMYFUNCTION("IMPORTRANGE(""https://docs.google.com/spreadsheets/d/1IYY_tgx_IHuhSq3AJ5eI5OnqOPBNLWSHKh2a30DoXe8/edit?usp=sharing"",""ตรัง!L353"")"),0)</f>
        <v>0</v>
      </c>
      <c r="M458" s="175"/>
      <c r="N458" s="175">
        <f ca="1">IFERROR(__xludf.DUMMYFUNCTION("IMPORTRANGE(""https://docs.google.com/spreadsheets/d/1IYY_tgx_IHuhSq3AJ5eI5OnqOPBNLWSHKh2a30DoXe8/edit?usp=sharing"",""ตรัง!M353"")"),0)</f>
        <v>0</v>
      </c>
      <c r="O458" s="175">
        <f t="shared" ca="1" si="116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IFERROR(__xludf.DUMMYFUNCTION("IMPORTRANGE(""https://docs.google.com/spreadsheets/d/1IYY_tgx_IHuhSq3AJ5eI5OnqOPBNLWSHKh2a30DoXe8/edit?usp=sharing"",""ตรัง!L354"")"),285318)</f>
        <v>285318</v>
      </c>
      <c r="M459" s="175"/>
      <c r="N459" s="175">
        <f ca="1">IFERROR(__xludf.DUMMYFUNCTION("IMPORTRANGE(""https://docs.google.com/spreadsheets/d/1IYY_tgx_IHuhSq3AJ5eI5OnqOPBNLWSHKh2a30DoXe8/edit?usp=sharing"",""ตรัง!M354"")"),76747.86)</f>
        <v>76747.86</v>
      </c>
      <c r="O459" s="175">
        <f t="shared" ca="1" si="116"/>
        <v>26.899059996214749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IFERROR(__xludf.DUMMYFUNCTION("IMPORTRANGE(""https://docs.google.com/spreadsheets/d/1IYY_tgx_IHuhSq3AJ5eI5OnqOPBNLWSHKh2a30DoXe8/edit?usp=sharing"",""ตรัง!M355"")"),0)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IFERROR(__xludf.DUMMYFUNCTION("IMPORTRANGE(""https://docs.google.com/spreadsheets/d/1IYY_tgx_IHuhSq3AJ5eI5OnqOPBNLWSHKh2a30DoXe8/edit?usp=sharing"",""ตรัง!M356"")"),0)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IFERROR(__xludf.DUMMYFUNCTION("IMPORTRANGE(""https://docs.google.com/spreadsheets/d/1IYY_tgx_IHuhSq3AJ5eI5OnqOPBNLWSHKh2a30DoXe8/edit?usp=sharing"",""ตรัง!M357"")"),0)</f>
        <v>0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IFERROR(__xludf.DUMMYFUNCTION("IMPORTRANGE(""https://docs.google.com/spreadsheets/d/1IYY_tgx_IHuhSq3AJ5eI5OnqOPBNLWSHKh2a30DoXe8/edit?usp=sharing"",""ตรัง!M358"")"),76747.86)</f>
        <v>76747.86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IFERROR(__xludf.DUMMYFUNCTION("IMPORTRANGE(""https://docs.google.com/spreadsheets/d/1IYY_tgx_IHuhSq3AJ5eI5OnqOPBNLWSHKh2a30DoXe8/edit?usp=sharing"",""ตรัง!I359"")"),39755)</f>
        <v>39755</v>
      </c>
      <c r="J464" s="273">
        <f ca="1">IFERROR(__xludf.DUMMYFUNCTION("IMPORTRANGE(""https://docs.google.com/spreadsheets/d/1IYY_tgx_IHuhSq3AJ5eI5OnqOPBNLWSHKh2a30DoXe8/edit?usp=sharing"",""ตรัง!J359"")"),36628)</f>
        <v>36628</v>
      </c>
      <c r="K464" s="274">
        <f t="shared" ref="K464:K515" ca="1" si="117">IF(I464&gt;0,J464*100/I464,0)</f>
        <v>92.134322726701043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IFERROR(__xludf.DUMMYFUNCTION("IMPORTRANGE(""https://docs.google.com/spreadsheets/d/1IYY_tgx_IHuhSq3AJ5eI5OnqOPBNLWSHKh2a30DoXe8/edit?usp=sharing"",""ตรัง!I360"")"),39755)</f>
        <v>39755</v>
      </c>
      <c r="J465" s="426">
        <f ca="1">IFERROR(__xludf.DUMMYFUNCTION("IMPORTRANGE(""https://docs.google.com/spreadsheets/d/1IYY_tgx_IHuhSq3AJ5eI5OnqOPBNLWSHKh2a30DoXe8/edit?usp=sharing"",""ตรัง!J360"")"),39755)</f>
        <v>39755</v>
      </c>
      <c r="K465" s="208">
        <f t="shared" ca="1" si="117"/>
        <v>100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IFERROR(__xludf.DUMMYFUNCTION("IMPORTRANGE(""https://docs.google.com/spreadsheets/d/1IYY_tgx_IHuhSq3AJ5eI5OnqOPBNLWSHKh2a30DoXe8/edit?usp=sharing"",""ตรัง!I361"")"),3513)</f>
        <v>3513</v>
      </c>
      <c r="J466" s="426">
        <f ca="1">IFERROR(__xludf.DUMMYFUNCTION("IMPORTRANGE(""https://docs.google.com/spreadsheets/d/1IYY_tgx_IHuhSq3AJ5eI5OnqOPBNLWSHKh2a30DoXe8/edit?usp=sharing"",""ตรัง!J361"")"),3512)</f>
        <v>3512</v>
      </c>
      <c r="K466" s="208">
        <f t="shared" ca="1" si="117"/>
        <v>99.971534301167097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IFERROR(__xludf.DUMMYFUNCTION("IMPORTRANGE(""https://docs.google.com/spreadsheets/d/1IYY_tgx_IHuhSq3AJ5eI5OnqOPBNLWSHKh2a30DoXe8/edit?usp=sharing"",""ตรัง!I362"")"),0)</f>
        <v>0</v>
      </c>
      <c r="J467" s="195">
        <f ca="1">IFERROR(__xludf.DUMMYFUNCTION("IMPORTRANGE(""https://docs.google.com/spreadsheets/d/1IYY_tgx_IHuhSq3AJ5eI5OnqOPBNLWSHKh2a30DoXe8/edit?usp=sharing"",""ตรัง!J362"")"),36628)</f>
        <v>36628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IFERROR(__xludf.DUMMYFUNCTION("IMPORTRANGE(""https://docs.google.com/spreadsheets/d/1IYY_tgx_IHuhSq3AJ5eI5OnqOPBNLWSHKh2a30DoXe8/edit?usp=sharing"",""ตรัง!I363"")"),0)</f>
        <v>0</v>
      </c>
      <c r="J468" s="195">
        <f ca="1">IFERROR(__xludf.DUMMYFUNCTION("IMPORTRANGE(""https://docs.google.com/spreadsheets/d/1IYY_tgx_IHuhSq3AJ5eI5OnqOPBNLWSHKh2a30DoXe8/edit?usp=sharing"",""ตรัง!J363"")"),3274)</f>
        <v>3274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IFERROR(__xludf.DUMMYFUNCTION("IMPORTRANGE(""https://docs.google.com/spreadsheets/d/1IYY_tgx_IHuhSq3AJ5eI5OnqOPBNLWSHKh2a30DoXe8/edit?usp=sharing"",""ตรัง!I364"")"),0)</f>
        <v>0</v>
      </c>
      <c r="J469" s="195">
        <f ca="1">IFERROR(__xludf.DUMMYFUNCTION("IMPORTRANGE(""https://docs.google.com/spreadsheets/d/1IYY_tgx_IHuhSq3AJ5eI5OnqOPBNLWSHKh2a30DoXe8/edit?usp=sharing"",""ตรัง!J364"")"),1659)</f>
        <v>1659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IFERROR(__xludf.DUMMYFUNCTION("IMPORTRANGE(""https://docs.google.com/spreadsheets/d/1IYY_tgx_IHuhSq3AJ5eI5OnqOPBNLWSHKh2a30DoXe8/edit?usp=sharing"",""ตรัง!I365"")"),0)</f>
        <v>0</v>
      </c>
      <c r="J470" s="195">
        <f ca="1">IFERROR(__xludf.DUMMYFUNCTION("IMPORTRANGE(""https://docs.google.com/spreadsheets/d/1IYY_tgx_IHuhSq3AJ5eI5OnqOPBNLWSHKh2a30DoXe8/edit?usp=sharing"",""ตรัง!J365"")"),133)</f>
        <v>133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IFERROR(__xludf.DUMMYFUNCTION("IMPORTRANGE(""https://docs.google.com/spreadsheets/d/1IYY_tgx_IHuhSq3AJ5eI5OnqOPBNLWSHKh2a30DoXe8/edit?usp=sharing"",""ตรัง!I366"")"),0)</f>
        <v>0</v>
      </c>
      <c r="J471" s="195">
        <f ca="1">IFERROR(__xludf.DUMMYFUNCTION("IMPORTRANGE(""https://docs.google.com/spreadsheets/d/1IYY_tgx_IHuhSq3AJ5eI5OnqOPBNLWSHKh2a30DoXe8/edit?usp=sharing"",""ตรัง!J366"")"),1468)</f>
        <v>1468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IFERROR(__xludf.DUMMYFUNCTION("IMPORTRANGE(""https://docs.google.com/spreadsheets/d/1IYY_tgx_IHuhSq3AJ5eI5OnqOPBNLWSHKh2a30DoXe8/edit?usp=sharing"",""ตรัง!I367"")"),0)</f>
        <v>0</v>
      </c>
      <c r="J472" s="195">
        <f ca="1">IFERROR(__xludf.DUMMYFUNCTION("IMPORTRANGE(""https://docs.google.com/spreadsheets/d/1IYY_tgx_IHuhSq3AJ5eI5OnqOPBNLWSHKh2a30DoXe8/edit?usp=sharing"",""ตรัง!J367"")"),105)</f>
        <v>105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IFERROR(__xludf.DUMMYFUNCTION("IMPORTRANGE(""https://docs.google.com/spreadsheets/d/1IYY_tgx_IHuhSq3AJ5eI5OnqOPBNLWSHKh2a30DoXe8/edit?usp=sharing"",""ตรัง!I368"")"),39755)</f>
        <v>39755</v>
      </c>
      <c r="J473" s="426">
        <f ca="1">IFERROR(__xludf.DUMMYFUNCTION("IMPORTRANGE(""https://docs.google.com/spreadsheets/d/1IYY_tgx_IHuhSq3AJ5eI5OnqOPBNLWSHKh2a30DoXe8/edit?usp=sharing"",""ตรัง!J368"")"),39755)</f>
        <v>39755</v>
      </c>
      <c r="K473" s="208">
        <f t="shared" ca="1" si="117"/>
        <v>100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IFERROR(__xludf.DUMMYFUNCTION("IMPORTRANGE(""https://docs.google.com/spreadsheets/d/1IYY_tgx_IHuhSq3AJ5eI5OnqOPBNLWSHKh2a30DoXe8/edit?usp=sharing"",""ตรัง!I369"")"),3513)</f>
        <v>3513</v>
      </c>
      <c r="J474" s="426">
        <f ca="1">IFERROR(__xludf.DUMMYFUNCTION("IMPORTRANGE(""https://docs.google.com/spreadsheets/d/1IYY_tgx_IHuhSq3AJ5eI5OnqOPBNLWSHKh2a30DoXe8/edit?usp=sharing"",""ตรัง!J369"")"),3512)</f>
        <v>3512</v>
      </c>
      <c r="K474" s="208">
        <f t="shared" ca="1" si="117"/>
        <v>99.971534301167097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IFERROR(__xludf.DUMMYFUNCTION("IMPORTRANGE(""https://docs.google.com/spreadsheets/d/1IYY_tgx_IHuhSq3AJ5eI5OnqOPBNLWSHKh2a30DoXe8/edit?usp=sharing"",""ตรัง!I370"")"),0)</f>
        <v>0</v>
      </c>
      <c r="J475" s="195">
        <f ca="1">IFERROR(__xludf.DUMMYFUNCTION("IMPORTRANGE(""https://docs.google.com/spreadsheets/d/1IYY_tgx_IHuhSq3AJ5eI5OnqOPBNLWSHKh2a30DoXe8/edit?usp=sharing"",""ตรัง!J370"")"),36628)</f>
        <v>36628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IFERROR(__xludf.DUMMYFUNCTION("IMPORTRANGE(""https://docs.google.com/spreadsheets/d/1IYY_tgx_IHuhSq3AJ5eI5OnqOPBNLWSHKh2a30DoXe8/edit?usp=sharing"",""ตรัง!I371"")"),0)</f>
        <v>0</v>
      </c>
      <c r="J476" s="195">
        <f ca="1">IFERROR(__xludf.DUMMYFUNCTION("IMPORTRANGE(""https://docs.google.com/spreadsheets/d/1IYY_tgx_IHuhSq3AJ5eI5OnqOPBNLWSHKh2a30DoXe8/edit?usp=sharing"",""ตรัง!J371"")"),3274)</f>
        <v>3274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IFERROR(__xludf.DUMMYFUNCTION("IMPORTRANGE(""https://docs.google.com/spreadsheets/d/1IYY_tgx_IHuhSq3AJ5eI5OnqOPBNLWSHKh2a30DoXe8/edit?usp=sharing"",""ตรัง!I372"")"),0)</f>
        <v>0</v>
      </c>
      <c r="J477" s="195">
        <f ca="1">IFERROR(__xludf.DUMMYFUNCTION("IMPORTRANGE(""https://docs.google.com/spreadsheets/d/1IYY_tgx_IHuhSq3AJ5eI5OnqOPBNLWSHKh2a30DoXe8/edit?usp=sharing"",""ตรัง!J372"")"),1659)</f>
        <v>1659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IFERROR(__xludf.DUMMYFUNCTION("IMPORTRANGE(""https://docs.google.com/spreadsheets/d/1IYY_tgx_IHuhSq3AJ5eI5OnqOPBNLWSHKh2a30DoXe8/edit?usp=sharing"",""ตรัง!I373"")"),0)</f>
        <v>0</v>
      </c>
      <c r="J478" s="195">
        <f ca="1">IFERROR(__xludf.DUMMYFUNCTION("IMPORTRANGE(""https://docs.google.com/spreadsheets/d/1IYY_tgx_IHuhSq3AJ5eI5OnqOPBNLWSHKh2a30DoXe8/edit?usp=sharing"",""ตรัง!J373"")"),133)</f>
        <v>133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IFERROR(__xludf.DUMMYFUNCTION("IMPORTRANGE(""https://docs.google.com/spreadsheets/d/1IYY_tgx_IHuhSq3AJ5eI5OnqOPBNLWSHKh2a30DoXe8/edit?usp=sharing"",""ตรัง!I374"")"),0)</f>
        <v>0</v>
      </c>
      <c r="J479" s="195">
        <f ca="1">IFERROR(__xludf.DUMMYFUNCTION("IMPORTRANGE(""https://docs.google.com/spreadsheets/d/1IYY_tgx_IHuhSq3AJ5eI5OnqOPBNLWSHKh2a30DoXe8/edit?usp=sharing"",""ตรัง!J374"")"),1468)</f>
        <v>1468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IFERROR(__xludf.DUMMYFUNCTION("IMPORTRANGE(""https://docs.google.com/spreadsheets/d/1IYY_tgx_IHuhSq3AJ5eI5OnqOPBNLWSHKh2a30DoXe8/edit?usp=sharing"",""ตรัง!I375"")"),0)</f>
        <v>0</v>
      </c>
      <c r="J480" s="195">
        <f ca="1">IFERROR(__xludf.DUMMYFUNCTION("IMPORTRANGE(""https://docs.google.com/spreadsheets/d/1IYY_tgx_IHuhSq3AJ5eI5OnqOPBNLWSHKh2a30DoXe8/edit?usp=sharing"",""ตรัง!J375"")"),105)</f>
        <v>105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IFERROR(__xludf.DUMMYFUNCTION("IMPORTRANGE(""https://docs.google.com/spreadsheets/d/1IYY_tgx_IHuhSq3AJ5eI5OnqOPBNLWSHKh2a30DoXe8/edit?usp=sharing"",""ตรัง!I376"")"),39755)</f>
        <v>39755</v>
      </c>
      <c r="J481" s="426">
        <f ca="1">IFERROR(__xludf.DUMMYFUNCTION("IMPORTRANGE(""https://docs.google.com/spreadsheets/d/1IYY_tgx_IHuhSq3AJ5eI5OnqOPBNLWSHKh2a30DoXe8/edit?usp=sharing"",""ตรัง!J376"")"),36628)</f>
        <v>36628</v>
      </c>
      <c r="K481" s="208">
        <f t="shared" ca="1" si="117"/>
        <v>92.134322726701043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IFERROR(__xludf.DUMMYFUNCTION("IMPORTRANGE(""https://docs.google.com/spreadsheets/d/1IYY_tgx_IHuhSq3AJ5eI5OnqOPBNLWSHKh2a30DoXe8/edit?usp=sharing"",""ตรัง!I377"")"),3513)</f>
        <v>3513</v>
      </c>
      <c r="J482" s="426">
        <f ca="1">IFERROR(__xludf.DUMMYFUNCTION("IMPORTRANGE(""https://docs.google.com/spreadsheets/d/1IYY_tgx_IHuhSq3AJ5eI5OnqOPBNLWSHKh2a30DoXe8/edit?usp=sharing"",""ตรัง!J377"")"),3274)</f>
        <v>3274</v>
      </c>
      <c r="K482" s="208">
        <f t="shared" ca="1" si="117"/>
        <v>93.196697978935376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IFERROR(__xludf.DUMMYFUNCTION("IMPORTRANGE(""https://docs.google.com/spreadsheets/d/1IYY_tgx_IHuhSq3AJ5eI5OnqOPBNLWSHKh2a30DoXe8/edit?usp=sharing"",""ตรัง!I378"")"),0)</f>
        <v>0</v>
      </c>
      <c r="J483" s="195">
        <f ca="1">IFERROR(__xludf.DUMMYFUNCTION("IMPORTRANGE(""https://docs.google.com/spreadsheets/d/1IYY_tgx_IHuhSq3AJ5eI5OnqOPBNLWSHKh2a30DoXe8/edit?usp=sharing"",""ตรัง!J378"")"),36628)</f>
        <v>36628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IFERROR(__xludf.DUMMYFUNCTION("IMPORTRANGE(""https://docs.google.com/spreadsheets/d/1IYY_tgx_IHuhSq3AJ5eI5OnqOPBNLWSHKh2a30DoXe8/edit?usp=sharing"",""ตรัง!I379"")"),0)</f>
        <v>0</v>
      </c>
      <c r="J484" s="195">
        <f ca="1">IFERROR(__xludf.DUMMYFUNCTION("IMPORTRANGE(""https://docs.google.com/spreadsheets/d/1IYY_tgx_IHuhSq3AJ5eI5OnqOPBNLWSHKh2a30DoXe8/edit?usp=sharing"",""ตรัง!J379"")"),3274)</f>
        <v>3274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IFERROR(__xludf.DUMMYFUNCTION("IMPORTRANGE(""https://docs.google.com/spreadsheets/d/1IYY_tgx_IHuhSq3AJ5eI5OnqOPBNLWSHKh2a30DoXe8/edit?usp=sharing"",""ตรัง!I380"")"),0)</f>
        <v>0</v>
      </c>
      <c r="J485" s="195">
        <f ca="1">IFERROR(__xludf.DUMMYFUNCTION("IMPORTRANGE(""https://docs.google.com/spreadsheets/d/1IYY_tgx_IHuhSq3AJ5eI5OnqOPBNLWSHKh2a30DoXe8/edit?usp=sharing"",""ตรัง!J380"")"),0)</f>
        <v>0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IFERROR(__xludf.DUMMYFUNCTION("IMPORTRANGE(""https://docs.google.com/spreadsheets/d/1IYY_tgx_IHuhSq3AJ5eI5OnqOPBNLWSHKh2a30DoXe8/edit?usp=sharing"",""ตรัง!I381"")"),0)</f>
        <v>0</v>
      </c>
      <c r="J486" s="195">
        <f ca="1">IFERROR(__xludf.DUMMYFUNCTION("IMPORTRANGE(""https://docs.google.com/spreadsheets/d/1IYY_tgx_IHuhSq3AJ5eI5OnqOPBNLWSHKh2a30DoXe8/edit?usp=sharing"",""ตรัง!J381"")"),0)</f>
        <v>0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IFERROR(__xludf.DUMMYFUNCTION("IMPORTRANGE(""https://docs.google.com/spreadsheets/d/1IYY_tgx_IHuhSq3AJ5eI5OnqOPBNLWSHKh2a30DoXe8/edit?usp=sharing"",""ตรัง!I382"")"),0)</f>
        <v>0</v>
      </c>
      <c r="J487" s="426">
        <f ca="1">IFERROR(__xludf.DUMMYFUNCTION("IMPORTRANGE(""https://docs.google.com/spreadsheets/d/1IYY_tgx_IHuhSq3AJ5eI5OnqOPBNLWSHKh2a30DoXe8/edit?usp=sharing"",""ตรัง!J382"")"),0)</f>
        <v>0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IFERROR(__xludf.DUMMYFUNCTION("IMPORTRANGE(""https://docs.google.com/spreadsheets/d/1IYY_tgx_IHuhSq3AJ5eI5OnqOPBNLWSHKh2a30DoXe8/edit?usp=sharing"",""ตรัง!I383"")"),0)</f>
        <v>0</v>
      </c>
      <c r="J488" s="426">
        <f ca="1">IFERROR(__xludf.DUMMYFUNCTION("IMPORTRANGE(""https://docs.google.com/spreadsheets/d/1IYY_tgx_IHuhSq3AJ5eI5OnqOPBNLWSHKh2a30DoXe8/edit?usp=sharing"",""ตรัง!J383"")"),0)</f>
        <v>0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IFERROR(__xludf.DUMMYFUNCTION("IMPORTRANGE(""https://docs.google.com/spreadsheets/d/1IYY_tgx_IHuhSq3AJ5eI5OnqOPBNLWSHKh2a30DoXe8/edit?usp=sharing"",""ตรัง!I384"")"),0)</f>
        <v>0</v>
      </c>
      <c r="J489" s="195">
        <f ca="1">IFERROR(__xludf.DUMMYFUNCTION("IMPORTRANGE(""https://docs.google.com/spreadsheets/d/1IYY_tgx_IHuhSq3AJ5eI5OnqOPBNLWSHKh2a30DoXe8/edit?usp=sharing"",""ตรัง!J384"")"),0)</f>
        <v>0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IFERROR(__xludf.DUMMYFUNCTION("IMPORTRANGE(""https://docs.google.com/spreadsheets/d/1IYY_tgx_IHuhSq3AJ5eI5OnqOPBNLWSHKh2a30DoXe8/edit?usp=sharing"",""ตรัง!I385"")"),0)</f>
        <v>0</v>
      </c>
      <c r="J490" s="195">
        <f ca="1">IFERROR(__xludf.DUMMYFUNCTION("IMPORTRANGE(""https://docs.google.com/spreadsheets/d/1IYY_tgx_IHuhSq3AJ5eI5OnqOPBNLWSHKh2a30DoXe8/edit?usp=sharing"",""ตรัง!J385"")"),0)</f>
        <v>0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IFERROR(__xludf.DUMMYFUNCTION("IMPORTRANGE(""https://docs.google.com/spreadsheets/d/1IYY_tgx_IHuhSq3AJ5eI5OnqOPBNLWSHKh2a30DoXe8/edit?usp=sharing"",""ตรัง!I386"")"),0)</f>
        <v>0</v>
      </c>
      <c r="J491" s="195">
        <f ca="1">IFERROR(__xludf.DUMMYFUNCTION("IMPORTRANGE(""https://docs.google.com/spreadsheets/d/1IYY_tgx_IHuhSq3AJ5eI5OnqOPBNLWSHKh2a30DoXe8/edit?usp=sharing"",""ตรัง!J386"")"),0)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IFERROR(__xludf.DUMMYFUNCTION("IMPORTRANGE(""https://docs.google.com/spreadsheets/d/1IYY_tgx_IHuhSq3AJ5eI5OnqOPBNLWSHKh2a30DoXe8/edit?usp=sharing"",""ตรัง!I387"")"),0)</f>
        <v>0</v>
      </c>
      <c r="J492" s="195">
        <f ca="1">IFERROR(__xludf.DUMMYFUNCTION("IMPORTRANGE(""https://docs.google.com/spreadsheets/d/1IYY_tgx_IHuhSq3AJ5eI5OnqOPBNLWSHKh2a30DoXe8/edit?usp=sharing"",""ตรัง!J387"")"),0)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IFERROR(__xludf.DUMMYFUNCTION("IMPORTRANGE(""https://docs.google.com/spreadsheets/d/1IYY_tgx_IHuhSq3AJ5eI5OnqOPBNLWSHKh2a30DoXe8/edit?usp=sharing"",""ตรัง!I388"")"),0)</f>
        <v>0</v>
      </c>
      <c r="J493" s="195">
        <f ca="1">IFERROR(__xludf.DUMMYFUNCTION("IMPORTRANGE(""https://docs.google.com/spreadsheets/d/1IYY_tgx_IHuhSq3AJ5eI5OnqOPBNLWSHKh2a30DoXe8/edit?usp=sharing"",""ตรัง!J388"")"),0)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IFERROR(__xludf.DUMMYFUNCTION("IMPORTRANGE(""https://docs.google.com/spreadsheets/d/1IYY_tgx_IHuhSq3AJ5eI5OnqOPBNLWSHKh2a30DoXe8/edit?usp=sharing"",""ตรัง!I389"")"),0)</f>
        <v>0</v>
      </c>
      <c r="J494" s="442">
        <f ca="1">IFERROR(__xludf.DUMMYFUNCTION("IMPORTRANGE(""https://docs.google.com/spreadsheets/d/1IYY_tgx_IHuhSq3AJ5eI5OnqOPBNLWSHKh2a30DoXe8/edit?usp=sharing"",""ตรัง!J389"")"),0)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IFERROR(__xludf.DUMMYFUNCTION("IMPORTRANGE(""https://docs.google.com/spreadsheets/d/1IYY_tgx_IHuhSq3AJ5eI5OnqOPBNLWSHKh2a30DoXe8/edit?usp=sharing"",""ตรัง!I390"")"),0)</f>
        <v>0</v>
      </c>
      <c r="J495" s="442">
        <f ca="1">IFERROR(__xludf.DUMMYFUNCTION("IMPORTRANGE(""https://docs.google.com/spreadsheets/d/1IYY_tgx_IHuhSq3AJ5eI5OnqOPBNLWSHKh2a30DoXe8/edit?usp=sharing"",""ตรัง!J390"")"),0)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IFERROR(__xludf.DUMMYFUNCTION("IMPORTRANGE(""https://docs.google.com/spreadsheets/d/1IYY_tgx_IHuhSq3AJ5eI5OnqOPBNLWSHKh2a30DoXe8/edit?usp=sharing"",""ตรัง!I391"")"),0)</f>
        <v>0</v>
      </c>
      <c r="J496" s="442">
        <f ca="1">IFERROR(__xludf.DUMMYFUNCTION("IMPORTRANGE(""https://docs.google.com/spreadsheets/d/1IYY_tgx_IHuhSq3AJ5eI5OnqOPBNLWSHKh2a30DoXe8/edit?usp=sharing"",""ตรัง!J391"")"),0)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IFERROR(__xludf.DUMMYFUNCTION("IMPORTRANGE(""https://docs.google.com/spreadsheets/d/1IYY_tgx_IHuhSq3AJ5eI5OnqOPBNLWSHKh2a30DoXe8/edit?usp=sharing"",""ตรัง!I392"")"),1066)</f>
        <v>1066</v>
      </c>
      <c r="J497" s="449">
        <f ca="1">IFERROR(__xludf.DUMMYFUNCTION("IMPORTRANGE(""https://docs.google.com/spreadsheets/d/1IYY_tgx_IHuhSq3AJ5eI5OnqOPBNLWSHKh2a30DoXe8/edit?usp=sharing"",""ตรัง!J392"")"),748)</f>
        <v>748</v>
      </c>
      <c r="K497" s="450">
        <f t="shared" ca="1" si="117"/>
        <v>70.168855534709195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IFERROR(__xludf.DUMMYFUNCTION("IMPORTRANGE(""https://docs.google.com/spreadsheets/d/1IYY_tgx_IHuhSq3AJ5eI5OnqOPBNLWSHKh2a30DoXe8/edit?usp=sharing"",""ตรัง!I393"")"),1066)</f>
        <v>1066</v>
      </c>
      <c r="J498" s="426">
        <f ca="1">IFERROR(__xludf.DUMMYFUNCTION("IMPORTRANGE(""https://docs.google.com/spreadsheets/d/1IYY_tgx_IHuhSq3AJ5eI5OnqOPBNLWSHKh2a30DoXe8/edit?usp=sharing"",""ตรัง!J393"")"),748)</f>
        <v>748</v>
      </c>
      <c r="K498" s="167">
        <f t="shared" ca="1" si="117"/>
        <v>70.168855534709195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IFERROR(__xludf.DUMMYFUNCTION("IMPORTRANGE(""https://docs.google.com/spreadsheets/d/1IYY_tgx_IHuhSq3AJ5eI5OnqOPBNLWSHKh2a30DoXe8/edit?usp=sharing"",""ตรัง!I394"")"),164)</f>
        <v>164</v>
      </c>
      <c r="J499" s="426">
        <f ca="1">IFERROR(__xludf.DUMMYFUNCTION("IMPORTRANGE(""https://docs.google.com/spreadsheets/d/1IYY_tgx_IHuhSq3AJ5eI5OnqOPBNLWSHKh2a30DoXe8/edit?usp=sharing"",""ตรัง!J394"")"),117)</f>
        <v>117</v>
      </c>
      <c r="K499" s="208">
        <f t="shared" ca="1" si="117"/>
        <v>71.341463414634148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IFERROR(__xludf.DUMMYFUNCTION("IMPORTRANGE(""https://docs.google.com/spreadsheets/d/1IYY_tgx_IHuhSq3AJ5eI5OnqOPBNLWSHKh2a30DoXe8/edit?usp=sharing"",""ตรัง!I395"")"),0)</f>
        <v>0</v>
      </c>
      <c r="J500" s="166">
        <f ca="1">IFERROR(__xludf.DUMMYFUNCTION("IMPORTRANGE(""https://docs.google.com/spreadsheets/d/1IYY_tgx_IHuhSq3AJ5eI5OnqOPBNLWSHKh2a30DoXe8/edit?usp=sharing"",""ตรัง!J395"")"),528)</f>
        <v>528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IFERROR(__xludf.DUMMYFUNCTION("IMPORTRANGE(""https://docs.google.com/spreadsheets/d/1IYY_tgx_IHuhSq3AJ5eI5OnqOPBNLWSHKh2a30DoXe8/edit?usp=sharing"",""ตรัง!I396"")"),0)</f>
        <v>0</v>
      </c>
      <c r="J501" s="166">
        <f ca="1">IFERROR(__xludf.DUMMYFUNCTION("IMPORTRANGE(""https://docs.google.com/spreadsheets/d/1IYY_tgx_IHuhSq3AJ5eI5OnqOPBNLWSHKh2a30DoXe8/edit?usp=sharing"",""ตรัง!J396"")"),88)</f>
        <v>88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IFERROR(__xludf.DUMMYFUNCTION("IMPORTRANGE(""https://docs.google.com/spreadsheets/d/1IYY_tgx_IHuhSq3AJ5eI5OnqOPBNLWSHKh2a30DoXe8/edit?usp=sharing"",""ตรัง!I397"")"),0)</f>
        <v>0</v>
      </c>
      <c r="J502" s="195">
        <f ca="1">IFERROR(__xludf.DUMMYFUNCTION("IMPORTRANGE(""https://docs.google.com/spreadsheets/d/1IYY_tgx_IHuhSq3AJ5eI5OnqOPBNLWSHKh2a30DoXe8/edit?usp=sharing"",""ตรัง!J397"")"),528)</f>
        <v>528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IFERROR(__xludf.DUMMYFUNCTION("IMPORTRANGE(""https://docs.google.com/spreadsheets/d/1IYY_tgx_IHuhSq3AJ5eI5OnqOPBNLWSHKh2a30DoXe8/edit?usp=sharing"",""ตรัง!I398"")"),0)</f>
        <v>0</v>
      </c>
      <c r="J503" s="204">
        <f ca="1">IFERROR(__xludf.DUMMYFUNCTION("IMPORTRANGE(""https://docs.google.com/spreadsheets/d/1IYY_tgx_IHuhSq3AJ5eI5OnqOPBNLWSHKh2a30DoXe8/edit?usp=sharing"",""ตรัง!J398"")"),88)</f>
        <v>88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IFERROR(__xludf.DUMMYFUNCTION("IMPORTRANGE(""https://docs.google.com/spreadsheets/d/1IYY_tgx_IHuhSq3AJ5eI5OnqOPBNLWSHKh2a30DoXe8/edit?usp=sharing"",""ตรัง!I399"")"),0)</f>
        <v>0</v>
      </c>
      <c r="J504" s="195">
        <f ca="1">IFERROR(__xludf.DUMMYFUNCTION("IMPORTRANGE(""https://docs.google.com/spreadsheets/d/1IYY_tgx_IHuhSq3AJ5eI5OnqOPBNLWSHKh2a30DoXe8/edit?usp=sharing"",""ตรัง!J399"")"),0)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IFERROR(__xludf.DUMMYFUNCTION("IMPORTRANGE(""https://docs.google.com/spreadsheets/d/1IYY_tgx_IHuhSq3AJ5eI5OnqOPBNLWSHKh2a30DoXe8/edit?usp=sharing"",""ตรัง!I400"")"),0)</f>
        <v>0</v>
      </c>
      <c r="J505" s="204">
        <f ca="1">IFERROR(__xludf.DUMMYFUNCTION("IMPORTRANGE(""https://docs.google.com/spreadsheets/d/1IYY_tgx_IHuhSq3AJ5eI5OnqOPBNLWSHKh2a30DoXe8/edit?usp=sharing"",""ตรัง!J400"")"),0)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IFERROR(__xludf.DUMMYFUNCTION("IMPORTRANGE(""https://docs.google.com/spreadsheets/d/1IYY_tgx_IHuhSq3AJ5eI5OnqOPBNLWSHKh2a30DoXe8/edit?usp=sharing"",""ตรัง!I401"")"),0)</f>
        <v>0</v>
      </c>
      <c r="J506" s="195">
        <f ca="1">IFERROR(__xludf.DUMMYFUNCTION("IMPORTRANGE(""https://docs.google.com/spreadsheets/d/1IYY_tgx_IHuhSq3AJ5eI5OnqOPBNLWSHKh2a30DoXe8/edit?usp=sharing"",""ตรัง!J401"")"),0)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IFERROR(__xludf.DUMMYFUNCTION("IMPORTRANGE(""https://docs.google.com/spreadsheets/d/1IYY_tgx_IHuhSq3AJ5eI5OnqOPBNLWSHKh2a30DoXe8/edit?usp=sharing"",""ตรัง!I402"")"),0)</f>
        <v>0</v>
      </c>
      <c r="J507" s="204">
        <f ca="1">IFERROR(__xludf.DUMMYFUNCTION("IMPORTRANGE(""https://docs.google.com/spreadsheets/d/1IYY_tgx_IHuhSq3AJ5eI5OnqOPBNLWSHKh2a30DoXe8/edit?usp=sharing"",""ตรัง!J402"")"),0)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IFERROR(__xludf.DUMMYFUNCTION("IMPORTRANGE(""https://docs.google.com/spreadsheets/d/1IYY_tgx_IHuhSq3AJ5eI5OnqOPBNLWSHKh2a30DoXe8/edit?usp=sharing"",""ตรัง!I403"")"),0)</f>
        <v>0</v>
      </c>
      <c r="J508" s="166">
        <f ca="1">IFERROR(__xludf.DUMMYFUNCTION("IMPORTRANGE(""https://docs.google.com/spreadsheets/d/1IYY_tgx_IHuhSq3AJ5eI5OnqOPBNLWSHKh2a30DoXe8/edit?usp=sharing"",""ตรัง!J403"")"),220)</f>
        <v>220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IFERROR(__xludf.DUMMYFUNCTION("IMPORTRANGE(""https://docs.google.com/spreadsheets/d/1IYY_tgx_IHuhSq3AJ5eI5OnqOPBNLWSHKh2a30DoXe8/edit?usp=sharing"",""ตรัง!I404"")"),0)</f>
        <v>0</v>
      </c>
      <c r="J509" s="166">
        <f ca="1">IFERROR(__xludf.DUMMYFUNCTION("IMPORTRANGE(""https://docs.google.com/spreadsheets/d/1IYY_tgx_IHuhSq3AJ5eI5OnqOPBNLWSHKh2a30DoXe8/edit?usp=sharing"",""ตรัง!J404"")"),29)</f>
        <v>29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IFERROR(__xludf.DUMMYFUNCTION("IMPORTRANGE(""https://docs.google.com/spreadsheets/d/1IYY_tgx_IHuhSq3AJ5eI5OnqOPBNLWSHKh2a30DoXe8/edit?usp=sharing"",""ตรัง!I405"")"),0)</f>
        <v>0</v>
      </c>
      <c r="J510" s="204">
        <f ca="1">IFERROR(__xludf.DUMMYFUNCTION("IMPORTRANGE(""https://docs.google.com/spreadsheets/d/1IYY_tgx_IHuhSq3AJ5eI5OnqOPBNLWSHKh2a30DoXe8/edit?usp=sharing"",""ตรัง!J405"")"),218)</f>
        <v>218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IFERROR(__xludf.DUMMYFUNCTION("IMPORTRANGE(""https://docs.google.com/spreadsheets/d/1IYY_tgx_IHuhSq3AJ5eI5OnqOPBNLWSHKh2a30DoXe8/edit?usp=sharing"",""ตรัง!I406"")"),0)</f>
        <v>0</v>
      </c>
      <c r="J511" s="204">
        <f ca="1">IFERROR(__xludf.DUMMYFUNCTION("IMPORTRANGE(""https://docs.google.com/spreadsheets/d/1IYY_tgx_IHuhSq3AJ5eI5OnqOPBNLWSHKh2a30DoXe8/edit?usp=sharing"",""ตรัง!J406"")"),28)</f>
        <v>28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IFERROR(__xludf.DUMMYFUNCTION("IMPORTRANGE(""https://docs.google.com/spreadsheets/d/1IYY_tgx_IHuhSq3AJ5eI5OnqOPBNLWSHKh2a30DoXe8/edit?usp=sharing"",""ตรัง!I407"")"),0)</f>
        <v>0</v>
      </c>
      <c r="J512" s="204">
        <f ca="1">IFERROR(__xludf.DUMMYFUNCTION("IMPORTRANGE(""https://docs.google.com/spreadsheets/d/1IYY_tgx_IHuhSq3AJ5eI5OnqOPBNLWSHKh2a30DoXe8/edit?usp=sharing"",""ตรัง!J407"")"),2)</f>
        <v>2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IFERROR(__xludf.DUMMYFUNCTION("IMPORTRANGE(""https://docs.google.com/spreadsheets/d/1IYY_tgx_IHuhSq3AJ5eI5OnqOPBNLWSHKh2a30DoXe8/edit?usp=sharing"",""ตรัง!I408"")"),0)</f>
        <v>0</v>
      </c>
      <c r="J513" s="204">
        <f ca="1">IFERROR(__xludf.DUMMYFUNCTION("IMPORTRANGE(""https://docs.google.com/spreadsheets/d/1IYY_tgx_IHuhSq3AJ5eI5OnqOPBNLWSHKh2a30DoXe8/edit?usp=sharing"",""ตรัง!J408"")"),1)</f>
        <v>1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IFERROR(__xludf.DUMMYFUNCTION("IMPORTRANGE(""https://docs.google.com/spreadsheets/d/1IYY_tgx_IHuhSq3AJ5eI5OnqOPBNLWSHKh2a30DoXe8/edit?usp=sharing"",""ตรัง!I409"")"),0)</f>
        <v>0</v>
      </c>
      <c r="J514" s="204">
        <f ca="1">IFERROR(__xludf.DUMMYFUNCTION("IMPORTRANGE(""https://docs.google.com/spreadsheets/d/1IYY_tgx_IHuhSq3AJ5eI5OnqOPBNLWSHKh2a30DoXe8/edit?usp=sharing"",""ตรัง!J409"")"),0)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IFERROR(__xludf.DUMMYFUNCTION("IMPORTRANGE(""https://docs.google.com/spreadsheets/d/1IYY_tgx_IHuhSq3AJ5eI5OnqOPBNLWSHKh2a30DoXe8/edit?usp=sharing"",""ตรัง!I410"")"),0)</f>
        <v>0</v>
      </c>
      <c r="J515" s="204">
        <f ca="1">IFERROR(__xludf.DUMMYFUNCTION("IMPORTRANGE(""https://docs.google.com/spreadsheets/d/1IYY_tgx_IHuhSq3AJ5eI5OnqOPBNLWSHKh2a30DoXe8/edit?usp=sharing"",""ตรัง!J410"")"),0)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IFERROR(__xludf.DUMMYFUNCTION("IMPORTRANGE(""https://docs.google.com/spreadsheets/d/1IYY_tgx_IHuhSq3AJ5eI5OnqOPBNLWSHKh2a30DoXe8/edit?usp=sharing"",""ตรัง!I411"")"),0)</f>
        <v>0</v>
      </c>
      <c r="J516" s="273">
        <f ca="1">IFERROR(__xludf.DUMMYFUNCTION("IMPORTRANGE(""https://docs.google.com/spreadsheets/d/1IYY_tgx_IHuhSq3AJ5eI5OnqOPBNLWSHKh2a30DoXe8/edit?usp=sharing"",""ตรัง!J411"")"),0)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IFERROR(__xludf.DUMMYFUNCTION("IMPORTRANGE(""https://docs.google.com/spreadsheets/d/1IYY_tgx_IHuhSq3AJ5eI5OnqOPBNLWSHKh2a30DoXe8/edit?usp=sharing"",""ตรัง!I412"")"),0)</f>
        <v>0</v>
      </c>
      <c r="J517" s="290">
        <f ca="1">IFERROR(__xludf.DUMMYFUNCTION("IMPORTRANGE(""https://docs.google.com/spreadsheets/d/1IYY_tgx_IHuhSq3AJ5eI5OnqOPBNLWSHKh2a30DoXe8/edit?usp=sharing"",""ตรัง!J412"")"),0)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IFERROR(__xludf.DUMMYFUNCTION("IMPORTRANGE(""https://docs.google.com/spreadsheets/d/1IYY_tgx_IHuhSq3AJ5eI5OnqOPBNLWSHKh2a30DoXe8/edit?usp=sharing"",""ตรัง!I413"")"),0)</f>
        <v>0</v>
      </c>
      <c r="J518" s="290">
        <f ca="1">IFERROR(__xludf.DUMMYFUNCTION("IMPORTRANGE(""https://docs.google.com/spreadsheets/d/1IYY_tgx_IHuhSq3AJ5eI5OnqOPBNLWSHKh2a30DoXe8/edit?usp=sharing"",""ตรัง!J413"")"),0)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IFERROR(__xludf.DUMMYFUNCTION("IMPORTRANGE(""https://docs.google.com/spreadsheets/d/1IYY_tgx_IHuhSq3AJ5eI5OnqOPBNLWSHKh2a30DoXe8/edit?usp=sharing"",""ตรัง!I414"")"),0)</f>
        <v>0</v>
      </c>
      <c r="J519" s="194">
        <f ca="1">IFERROR(__xludf.DUMMYFUNCTION("IMPORTRANGE(""https://docs.google.com/spreadsheets/d/1IYY_tgx_IHuhSq3AJ5eI5OnqOPBNLWSHKh2a30DoXe8/edit?usp=sharing"",""ตรัง!J414"")"),0)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IFERROR(__xludf.DUMMYFUNCTION("IMPORTRANGE(""https://docs.google.com/spreadsheets/d/1IYY_tgx_IHuhSq3AJ5eI5OnqOPBNLWSHKh2a30DoXe8/edit?usp=sharing"",""ตรัง!I415"")"),0)</f>
        <v>0</v>
      </c>
      <c r="J520" s="194">
        <f ca="1">IFERROR(__xludf.DUMMYFUNCTION("IMPORTRANGE(""https://docs.google.com/spreadsheets/d/1IYY_tgx_IHuhSq3AJ5eI5OnqOPBNLWSHKh2a30DoXe8/edit?usp=sharing"",""ตรัง!J415"")"),0)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IFERROR(__xludf.DUMMYFUNCTION("IMPORTRANGE(""https://docs.google.com/spreadsheets/d/1IYY_tgx_IHuhSq3AJ5eI5OnqOPBNLWSHKh2a30DoXe8/edit?usp=sharing"",""ตรัง!I416"")"),0)</f>
        <v>0</v>
      </c>
      <c r="J521" s="194">
        <f ca="1">IFERROR(__xludf.DUMMYFUNCTION("IMPORTRANGE(""https://docs.google.com/spreadsheets/d/1IYY_tgx_IHuhSq3AJ5eI5OnqOPBNLWSHKh2a30DoXe8/edit?usp=sharing"",""ตรัง!J416"")"),0)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IFERROR(__xludf.DUMMYFUNCTION("IMPORTRANGE(""https://docs.google.com/spreadsheets/d/1IYY_tgx_IHuhSq3AJ5eI5OnqOPBNLWSHKh2a30DoXe8/edit?usp=sharing"",""ตรัง!I417"")"),0)</f>
        <v>0</v>
      </c>
      <c r="J522" s="194">
        <f ca="1">IFERROR(__xludf.DUMMYFUNCTION("IMPORTRANGE(""https://docs.google.com/spreadsheets/d/1IYY_tgx_IHuhSq3AJ5eI5OnqOPBNLWSHKh2a30DoXe8/edit?usp=sharing"",""ตรัง!J417"")"),0)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IFERROR(__xludf.DUMMYFUNCTION("IMPORTRANGE(""https://docs.google.com/spreadsheets/d/1IYY_tgx_IHuhSq3AJ5eI5OnqOPBNLWSHKh2a30DoXe8/edit?usp=sharing"",""ตรัง!I418"")"),0)</f>
        <v>0</v>
      </c>
      <c r="J523" s="194">
        <f ca="1">IFERROR(__xludf.DUMMYFUNCTION("IMPORTRANGE(""https://docs.google.com/spreadsheets/d/1IYY_tgx_IHuhSq3AJ5eI5OnqOPBNLWSHKh2a30DoXe8/edit?usp=sharing"",""ตรัง!J418"")"),15)</f>
        <v>15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IFERROR(__xludf.DUMMYFUNCTION("IMPORTRANGE(""https://docs.google.com/spreadsheets/d/1IYY_tgx_IHuhSq3AJ5eI5OnqOPBNLWSHKh2a30DoXe8/edit?usp=sharing"",""ตรัง!I419"")"),0)</f>
        <v>0</v>
      </c>
      <c r="J524" s="194">
        <f ca="1">IFERROR(__xludf.DUMMYFUNCTION("IMPORTRANGE(""https://docs.google.com/spreadsheets/d/1IYY_tgx_IHuhSq3AJ5eI5OnqOPBNLWSHKh2a30DoXe8/edit?usp=sharing"",""ตรัง!J419"")"),2)</f>
        <v>2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IFERROR(__xludf.DUMMYFUNCTION("IMPORTRANGE(""https://docs.google.com/spreadsheets/d/1IYY_tgx_IHuhSq3AJ5eI5OnqOPBNLWSHKh2a30DoXe8/edit?usp=sharing"",""ตรัง!I420"")"),15)</f>
        <v>15</v>
      </c>
      <c r="J525" s="290">
        <f ca="1">IFERROR(__xludf.DUMMYFUNCTION("IMPORTRANGE(""https://docs.google.com/spreadsheets/d/1IYY_tgx_IHuhSq3AJ5eI5OnqOPBNLWSHKh2a30DoXe8/edit?usp=sharing"",""ตรัง!J420"")"),14.72)</f>
        <v>14.72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IFERROR(__xludf.DUMMYFUNCTION("IMPORTRANGE(""https://docs.google.com/spreadsheets/d/1IYY_tgx_IHuhSq3AJ5eI5OnqOPBNLWSHKh2a30DoXe8/edit?usp=sharing"",""ตรัง!I421"")"),2)</f>
        <v>2</v>
      </c>
      <c r="J526" s="290">
        <f ca="1">IFERROR(__xludf.DUMMYFUNCTION("IMPORTRANGE(""https://docs.google.com/spreadsheets/d/1IYY_tgx_IHuhSq3AJ5eI5OnqOPBNLWSHKh2a30DoXe8/edit?usp=sharing"",""ตรัง!J421"")"),2)</f>
        <v>2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IFERROR(__xludf.DUMMYFUNCTION("IMPORTRANGE(""https://docs.google.com/spreadsheets/d/1IYY_tgx_IHuhSq3AJ5eI5OnqOPBNLWSHKh2a30DoXe8/edit?usp=sharing"",""ตรัง!I422"")"),0)</f>
        <v>0</v>
      </c>
      <c r="J527" s="204">
        <f ca="1">IFERROR(__xludf.DUMMYFUNCTION("IMPORTRANGE(""https://docs.google.com/spreadsheets/d/1IYY_tgx_IHuhSq3AJ5eI5OnqOPBNLWSHKh2a30DoXe8/edit?usp=sharing"",""ตรัง!J422"")"),8.72)</f>
        <v>8.7200000000000006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IFERROR(__xludf.DUMMYFUNCTION("IMPORTRANGE(""https://docs.google.com/spreadsheets/d/1IYY_tgx_IHuhSq3AJ5eI5OnqOPBNLWSHKh2a30DoXe8/edit?usp=sharing"",""ตรัง!I423"")"),0)</f>
        <v>0</v>
      </c>
      <c r="J528" s="204">
        <f ca="1">IFERROR(__xludf.DUMMYFUNCTION("IMPORTRANGE(""https://docs.google.com/spreadsheets/d/1IYY_tgx_IHuhSq3AJ5eI5OnqOPBNLWSHKh2a30DoXe8/edit?usp=sharing"",""ตรัง!J423"")"),1)</f>
        <v>1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IFERROR(__xludf.DUMMYFUNCTION("IMPORTRANGE(""https://docs.google.com/spreadsheets/d/1IYY_tgx_IHuhSq3AJ5eI5OnqOPBNLWSHKh2a30DoXe8/edit?usp=sharing"",""ตรัง!I424"")"),0)</f>
        <v>0</v>
      </c>
      <c r="J529" s="204">
        <f ca="1">IFERROR(__xludf.DUMMYFUNCTION("IMPORTRANGE(""https://docs.google.com/spreadsheets/d/1IYY_tgx_IHuhSq3AJ5eI5OnqOPBNLWSHKh2a30DoXe8/edit?usp=sharing"",""ตรัง!J424"")"),6)</f>
        <v>6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IFERROR(__xludf.DUMMYFUNCTION("IMPORTRANGE(""https://docs.google.com/spreadsheets/d/1IYY_tgx_IHuhSq3AJ5eI5OnqOPBNLWSHKh2a30DoXe8/edit?usp=sharing"",""ตรัง!I425"")"),0)</f>
        <v>0</v>
      </c>
      <c r="J530" s="204">
        <f ca="1">IFERROR(__xludf.DUMMYFUNCTION("IMPORTRANGE(""https://docs.google.com/spreadsheets/d/1IYY_tgx_IHuhSq3AJ5eI5OnqOPBNLWSHKh2a30DoXe8/edit?usp=sharing"",""ตรัง!J425"")"),1)</f>
        <v>1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IFERROR(__xludf.DUMMYFUNCTION("IMPORTRANGE(""https://docs.google.com/spreadsheets/d/1IYY_tgx_IHuhSq3AJ5eI5OnqOPBNLWSHKh2a30DoXe8/edit?usp=sharing"",""ตรัง!I426"")"),0)</f>
        <v>0</v>
      </c>
      <c r="J531" s="204">
        <f ca="1">IFERROR(__xludf.DUMMYFUNCTION("IMPORTRANGE(""https://docs.google.com/spreadsheets/d/1IYY_tgx_IHuhSq3AJ5eI5OnqOPBNLWSHKh2a30DoXe8/edit?usp=sharing"",""ตรัง!J426"")"),0)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IFERROR(__xludf.DUMMYFUNCTION("IMPORTRANGE(""https://docs.google.com/spreadsheets/d/1IYY_tgx_IHuhSq3AJ5eI5OnqOPBNLWSHKh2a30DoXe8/edit?usp=sharing"",""ตรัง!I427"")"),0)</f>
        <v>0</v>
      </c>
      <c r="J532" s="472">
        <f ca="1">IFERROR(__xludf.DUMMYFUNCTION("IMPORTRANGE(""https://docs.google.com/spreadsheets/d/1IYY_tgx_IHuhSq3AJ5eI5OnqOPBNLWSHKh2a30DoXe8/edit?usp=sharing"",""ตรัง!J427"")"),0)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IFERROR(__xludf.DUMMYFUNCTION("IMPORTRANGE(""https://docs.google.com/spreadsheets/d/1IYY_tgx_IHuhSq3AJ5eI5OnqOPBNLWSHKh2a30DoXe8/edit?usp=sharing"",""ตรัง!I428"")"),22)</f>
        <v>22</v>
      </c>
      <c r="J533" s="416">
        <f ca="1">IFERROR(__xludf.DUMMYFUNCTION("IMPORTRANGE(""https://docs.google.com/spreadsheets/d/1IYY_tgx_IHuhSq3AJ5eI5OnqOPBNLWSHKh2a30DoXe8/edit?usp=sharing"",""ตรัง!J428"")"),22)</f>
        <v>22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IFERROR(__xludf.DUMMYFUNCTION("IMPORTRANGE(""https://docs.google.com/spreadsheets/d/1IYY_tgx_IHuhSq3AJ5eI5OnqOPBNLWSHKh2a30DoXe8/edit?usp=sharing"",""ตรัง!L428"")"),34340)</f>
        <v>34340</v>
      </c>
      <c r="M533" s="418"/>
      <c r="N533" s="418">
        <f ca="1">IFERROR(__xludf.DUMMYFUNCTION("IMPORTRANGE(""https://docs.google.com/spreadsheets/d/1IYY_tgx_IHuhSq3AJ5eI5OnqOPBNLWSHKh2a30DoXe8/edit?usp=sharing"",""ตรัง!M428"")"),21539.48)</f>
        <v>21539.48</v>
      </c>
      <c r="O533" s="418">
        <f t="shared" ref="O533:O537" ca="1" si="118">+IF(L533&gt;0,N533*100/L533,0)</f>
        <v>62.724170064065227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IFERROR(__xludf.DUMMYFUNCTION("IMPORTRANGE(""https://docs.google.com/spreadsheets/d/1IYY_tgx_IHuhSq3AJ5eI5OnqOPBNLWSHKh2a30DoXe8/edit?usp=sharing"",""ตรัง!L429"")"),0)</f>
        <v>0</v>
      </c>
      <c r="M534" s="168"/>
      <c r="N534" s="175">
        <f ca="1">IFERROR(__xludf.DUMMYFUNCTION("IMPORTRANGE(""https://docs.google.com/spreadsheets/d/1IYY_tgx_IHuhSq3AJ5eI5OnqOPBNLWSHKh2a30DoXe8/edit?usp=sharing"",""ตรัง!M429"")"),0)</f>
        <v>0</v>
      </c>
      <c r="O534" s="175">
        <f t="shared" ca="1" si="118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IFERROR(__xludf.DUMMYFUNCTION("IMPORTRANGE(""https://docs.google.com/spreadsheets/d/1IYY_tgx_IHuhSq3AJ5eI5OnqOPBNLWSHKh2a30DoXe8/edit?usp=sharing"",""ตรัง!L430"")"),34340)</f>
        <v>34340</v>
      </c>
      <c r="M535" s="169"/>
      <c r="N535" s="175">
        <f ca="1">IFERROR(__xludf.DUMMYFUNCTION("IMPORTRANGE(""https://docs.google.com/spreadsheets/d/1IYY_tgx_IHuhSq3AJ5eI5OnqOPBNLWSHKh2a30DoXe8/edit?usp=sharing"",""ตรัง!M430"")"),21539.48)</f>
        <v>21539.48</v>
      </c>
      <c r="O535" s="175">
        <f t="shared" ca="1" si="118"/>
        <v>62.724170064065227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IFERROR(__xludf.DUMMYFUNCTION("IMPORTRANGE(""https://docs.google.com/spreadsheets/d/1IYY_tgx_IHuhSq3AJ5eI5OnqOPBNLWSHKh2a30DoXe8/edit?usp=sharing"",""ตรัง!L431"")"),0)</f>
        <v>0</v>
      </c>
      <c r="M536" s="175"/>
      <c r="N536" s="175">
        <f ca="1">IFERROR(__xludf.DUMMYFUNCTION("IMPORTRANGE(""https://docs.google.com/spreadsheets/d/1IYY_tgx_IHuhSq3AJ5eI5OnqOPBNLWSHKh2a30DoXe8/edit?usp=sharing"",""ตรัง!M431"")"),0)</f>
        <v>0</v>
      </c>
      <c r="O536" s="175">
        <f t="shared" ca="1" si="118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IFERROR(__xludf.DUMMYFUNCTION("IMPORTRANGE(""https://docs.google.com/spreadsheets/d/1IYY_tgx_IHuhSq3AJ5eI5OnqOPBNLWSHKh2a30DoXe8/edit?usp=sharing"",""ตรัง!L432"")"),34340)</f>
        <v>34340</v>
      </c>
      <c r="M537" s="175"/>
      <c r="N537" s="175">
        <f ca="1">IFERROR(__xludf.DUMMYFUNCTION("IMPORTRANGE(""https://docs.google.com/spreadsheets/d/1IYY_tgx_IHuhSq3AJ5eI5OnqOPBNLWSHKh2a30DoXe8/edit?usp=sharing"",""ตรัง!M432"")"),21539.48)</f>
        <v>21539.48</v>
      </c>
      <c r="O537" s="175">
        <f t="shared" ca="1" si="118"/>
        <v>62.724170064065227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IFERROR(__xludf.DUMMYFUNCTION("IMPORTRANGE(""https://docs.google.com/spreadsheets/d/1IYY_tgx_IHuhSq3AJ5eI5OnqOPBNLWSHKh2a30DoXe8/edit?usp=sharing"",""ตรัง!M433"")"),21059.48)</f>
        <v>21059.48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IFERROR(__xludf.DUMMYFUNCTION("IMPORTRANGE(""https://docs.google.com/spreadsheets/d/1IYY_tgx_IHuhSq3AJ5eI5OnqOPBNLWSHKh2a30DoXe8/edit?usp=sharing"",""ตรัง!M434"")"),0)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IFERROR(__xludf.DUMMYFUNCTION("IMPORTRANGE(""https://docs.google.com/spreadsheets/d/1IYY_tgx_IHuhSq3AJ5eI5OnqOPBNLWSHKh2a30DoXe8/edit?usp=sharing"",""ตรัง!M435"")"),0)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IFERROR(__xludf.DUMMYFUNCTION("IMPORTRANGE(""https://docs.google.com/spreadsheets/d/1IYY_tgx_IHuhSq3AJ5eI5OnqOPBNLWSHKh2a30DoXe8/edit?usp=sharing"",""ตรัง!M436"")"),480)</f>
        <v>480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IFERROR(__xludf.DUMMYFUNCTION("IMPORTRANGE(""https://docs.google.com/spreadsheets/d/1IYY_tgx_IHuhSq3AJ5eI5OnqOPBNLWSHKh2a30DoXe8/edit?usp=sharing"",""ตรัง!J438"")"),0)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IFERROR(__xludf.DUMMYFUNCTION("IMPORTRANGE(""https://docs.google.com/spreadsheets/d/1IYY_tgx_IHuhSq3AJ5eI5OnqOPBNLWSHKh2a30DoXe8/edit?usp=sharing"",""ตรัง!J439"")"),1)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IFERROR(__xludf.DUMMYFUNCTION("IMPORTRANGE(""https://docs.google.com/spreadsheets/d/1IYY_tgx_IHuhSq3AJ5eI5OnqOPBNLWSHKh2a30DoXe8/edit?usp=sharing"",""ตรัง!J440"")"),1)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IFERROR(__xludf.DUMMYFUNCTION("IMPORTRANGE(""https://docs.google.com/spreadsheets/d/1IYY_tgx_IHuhSq3AJ5eI5OnqOPBNLWSHKh2a30DoXe8/edit?usp=sharing"",""ตรัง!J441"")"),1)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IFERROR(__xludf.DUMMYFUNCTION("IMPORTRANGE(""https://docs.google.com/spreadsheets/d/1IYY_tgx_IHuhSq3AJ5eI5OnqOPBNLWSHKh2a30DoXe8/edit?usp=sharing"",""ตรัง!I442"")"),22)</f>
        <v>22</v>
      </c>
      <c r="J547" s="195">
        <f ca="1">IFERROR(__xludf.DUMMYFUNCTION("IMPORTRANGE(""https://docs.google.com/spreadsheets/d/1IYY_tgx_IHuhSq3AJ5eI5OnqOPBNLWSHKh2a30DoXe8/edit?usp=sharing"",""ตรัง!J442"")"),22)</f>
        <v>22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IFERROR(__xludf.DUMMYFUNCTION("IMPORTRANGE(""https://docs.google.com/spreadsheets/d/1IYY_tgx_IHuhSq3AJ5eI5OnqOPBNLWSHKh2a30DoXe8/edit?usp=sharing"",""ตรัง!J166"")"),0)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IFERROR(__xludf.DUMMYFUNCTION("IMPORTRANGE(""https://docs.google.com/spreadsheets/d/1IYY_tgx_IHuhSq3AJ5eI5OnqOPBNLWSHKh2a30DoXe8/edit?usp=sharing"",""ตรัง!J444"")"),0)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IFERROR(__xludf.DUMMYFUNCTION("IMPORTRANGE(""https://docs.google.com/spreadsheets/d/1IYY_tgx_IHuhSq3AJ5eI5OnqOPBNLWSHKh2a30DoXe8/edit?usp=sharing"",""ตรัง!J445"")"),0)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IFERROR(__xludf.DUMMYFUNCTION("IMPORTRANGE(""https://docs.google.com/spreadsheets/d/1IYY_tgx_IHuhSq3AJ5eI5OnqOPBNLWSHKh2a30DoXe8/edit?usp=sharing"",""ตรัง!I446"")"),0)</f>
        <v>0</v>
      </c>
      <c r="J551" s="416">
        <f ca="1">IFERROR(__xludf.DUMMYFUNCTION("IMPORTRANGE(""https://docs.google.com/spreadsheets/d/1IYY_tgx_IHuhSq3AJ5eI5OnqOPBNLWSHKh2a30DoXe8/edit?usp=sharing"",""ตรัง!J446"")"),0)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IFERROR(__xludf.DUMMYFUNCTION("IMPORTRANGE(""https://docs.google.com/spreadsheets/d/1IYY_tgx_IHuhSq3AJ5eI5OnqOPBNLWSHKh2a30DoXe8/edit?usp=sharing"",""ตรัง!L446"")"),0)</f>
        <v>0</v>
      </c>
      <c r="M551" s="418"/>
      <c r="N551" s="418">
        <f ca="1">IFERROR(__xludf.DUMMYFUNCTION("IMPORTRANGE(""https://docs.google.com/spreadsheets/d/1IYY_tgx_IHuhSq3AJ5eI5OnqOPBNLWSHKh2a30DoXe8/edit?usp=sharing"",""ตรัง!M446"")"),0)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IFERROR(__xludf.DUMMYFUNCTION("IMPORTRANGE(""https://docs.google.com/spreadsheets/d/1IYY_tgx_IHuhSq3AJ5eI5OnqOPBNLWSHKh2a30DoXe8/edit?usp=sharing"",""ตรัง!L447"")"),0)</f>
        <v>0</v>
      </c>
      <c r="M552" s="168"/>
      <c r="N552" s="175">
        <f ca="1">IFERROR(__xludf.DUMMYFUNCTION("IMPORTRANGE(""https://docs.google.com/spreadsheets/d/1IYY_tgx_IHuhSq3AJ5eI5OnqOPBNLWSHKh2a30DoXe8/edit?usp=sharing"",""ตรัง!M447"")"),0)</f>
        <v>0</v>
      </c>
      <c r="O552" s="175">
        <f t="shared" ca="1" si="120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IFERROR(__xludf.DUMMYFUNCTION("IMPORTRANGE(""https://docs.google.com/spreadsheets/d/1IYY_tgx_IHuhSq3AJ5eI5OnqOPBNLWSHKh2a30DoXe8/edit?usp=sharing"",""ตรัง!L448"")"),0)</f>
        <v>0</v>
      </c>
      <c r="M553" s="169"/>
      <c r="N553" s="175">
        <f ca="1">IFERROR(__xludf.DUMMYFUNCTION("IMPORTRANGE(""https://docs.google.com/spreadsheets/d/1IYY_tgx_IHuhSq3AJ5eI5OnqOPBNLWSHKh2a30DoXe8/edit?usp=sharing"",""ตรัง!M448"")"),0)</f>
        <v>0</v>
      </c>
      <c r="O553" s="175">
        <f t="shared" ca="1" si="120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IFERROR(__xludf.DUMMYFUNCTION("IMPORTRANGE(""https://docs.google.com/spreadsheets/d/1IYY_tgx_IHuhSq3AJ5eI5OnqOPBNLWSHKh2a30DoXe8/edit?usp=sharing"",""ตรัง!L449"")"),0)</f>
        <v>0</v>
      </c>
      <c r="M554" s="175"/>
      <c r="N554" s="175">
        <f ca="1">IFERROR(__xludf.DUMMYFUNCTION("IMPORTRANGE(""https://docs.google.com/spreadsheets/d/1IYY_tgx_IHuhSq3AJ5eI5OnqOPBNLWSHKh2a30DoXe8/edit?usp=sharing"",""ตรัง!M449"")"),0)</f>
        <v>0</v>
      </c>
      <c r="O554" s="175">
        <f t="shared" ca="1" si="120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IFERROR(__xludf.DUMMYFUNCTION("IMPORTRANGE(""https://docs.google.com/spreadsheets/d/1IYY_tgx_IHuhSq3AJ5eI5OnqOPBNLWSHKh2a30DoXe8/edit?usp=sharing"",""ตรัง!L450"")"),0)</f>
        <v>0</v>
      </c>
      <c r="M555" s="175"/>
      <c r="N555" s="175">
        <f ca="1">IFERROR(__xludf.DUMMYFUNCTION("IMPORTRANGE(""https://docs.google.com/spreadsheets/d/1IYY_tgx_IHuhSq3AJ5eI5OnqOPBNLWSHKh2a30DoXe8/edit?usp=sharing"",""ตรัง!M450"")"),0)</f>
        <v>0</v>
      </c>
      <c r="O555" s="175">
        <f t="shared" ca="1" si="120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IFERROR(__xludf.DUMMYFUNCTION("IMPORTRANGE(""https://docs.google.com/spreadsheets/d/1IYY_tgx_IHuhSq3AJ5eI5OnqOPBNLWSHKh2a30DoXe8/edit?usp=sharing"",""ตรัง!M451"")"),0)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IFERROR(__xludf.DUMMYFUNCTION("IMPORTRANGE(""https://docs.google.com/spreadsheets/d/1IYY_tgx_IHuhSq3AJ5eI5OnqOPBNLWSHKh2a30DoXe8/edit?usp=sharing"",""ตรัง!M452"")"),0)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IFERROR(__xludf.DUMMYFUNCTION("IMPORTRANGE(""https://docs.google.com/spreadsheets/d/1IYY_tgx_IHuhSq3AJ5eI5OnqOPBNLWSHKh2a30DoXe8/edit?usp=sharing"",""ตรัง!M453"")"),0)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IFERROR(__xludf.DUMMYFUNCTION("IMPORTRANGE(""https://docs.google.com/spreadsheets/d/1IYY_tgx_IHuhSq3AJ5eI5OnqOPBNLWSHKh2a30DoXe8/edit?usp=sharing"",""ตรัง!M454"")"),0)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IFERROR(__xludf.DUMMYFUNCTION("IMPORTRANGE(""https://docs.google.com/spreadsheets/d/1IYY_tgx_IHuhSq3AJ5eI5OnqOPBNLWSHKh2a30DoXe8/edit?usp=sharing"",""ตรัง!I455"")"),0)</f>
        <v>0</v>
      </c>
      <c r="J560" s="166">
        <f ca="1">IFERROR(__xludf.DUMMYFUNCTION("IMPORTRANGE(""https://docs.google.com/spreadsheets/d/1IYY_tgx_IHuhSq3AJ5eI5OnqOPBNLWSHKh2a30DoXe8/edit?usp=sharing"",""ตรัง!J455"")"),0)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IFERROR(__xludf.DUMMYFUNCTION("IMPORTRANGE(""https://docs.google.com/spreadsheets/d/1IYY_tgx_IHuhSq3AJ5eI5OnqOPBNLWSHKh2a30DoXe8/edit?usp=sharing"",""ตรัง!I456"")"),0)</f>
        <v>0</v>
      </c>
      <c r="J561" s="210">
        <f ca="1">IFERROR(__xludf.DUMMYFUNCTION("IMPORTRANGE(""https://docs.google.com/spreadsheets/d/1IYY_tgx_IHuhSq3AJ5eI5OnqOPBNLWSHKh2a30DoXe8/edit?usp=sharing"",""ตรัง!J456"")"),0)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IFERROR(__xludf.DUMMYFUNCTION("IMPORTRANGE(""https://docs.google.com/spreadsheets/d/1IYY_tgx_IHuhSq3AJ5eI5OnqOPBNLWSHKh2a30DoXe8/edit?usp=sharing"",""ตรัง!I459"")"),1000)</f>
        <v>1000</v>
      </c>
      <c r="J564" s="377">
        <f ca="1">IFERROR(__xludf.DUMMYFUNCTION("IMPORTRANGE(""https://docs.google.com/spreadsheets/d/1IYY_tgx_IHuhSq3AJ5eI5OnqOPBNLWSHKh2a30DoXe8/edit?usp=sharing"",""ตรัง!J459"")"),3808)</f>
        <v>3808</v>
      </c>
      <c r="K564" s="378">
        <f ca="1">IF(I564&gt;0,J564*100/I564,0)</f>
        <v>380.8</v>
      </c>
      <c r="L564" s="379">
        <f ca="1">IFERROR(__xludf.DUMMYFUNCTION("IMPORTRANGE(""https://docs.google.com/spreadsheets/d/1IYY_tgx_IHuhSq3AJ5eI5OnqOPBNLWSHKh2a30DoXe8/edit?usp=sharing"",""ตรัง!L459"")"),122720)</f>
        <v>122720</v>
      </c>
      <c r="M564" s="379"/>
      <c r="N564" s="379">
        <f ca="1">IFERROR(__xludf.DUMMYFUNCTION("IMPORTRANGE(""https://docs.google.com/spreadsheets/d/1IYY_tgx_IHuhSq3AJ5eI5OnqOPBNLWSHKh2a30DoXe8/edit?usp=sharing"",""ตรัง!M459"")"),114096.6)</f>
        <v>114096.6</v>
      </c>
      <c r="O564" s="379">
        <f t="shared" ref="O564:O568" ca="1" si="122">+IF(L564&gt;0,N564*100/L564,0)</f>
        <v>92.973109517601046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IFERROR(__xludf.DUMMYFUNCTION("IMPORTRANGE(""https://docs.google.com/spreadsheets/d/1IYY_tgx_IHuhSq3AJ5eI5OnqOPBNLWSHKh2a30DoXe8/edit?usp=sharing"",""ตรัง!L460"")"),0)</f>
        <v>0</v>
      </c>
      <c r="M565" s="168"/>
      <c r="N565" s="175">
        <f ca="1">IFERROR(__xludf.DUMMYFUNCTION("IMPORTRANGE(""https://docs.google.com/spreadsheets/d/1IYY_tgx_IHuhSq3AJ5eI5OnqOPBNLWSHKh2a30DoXe8/edit?usp=sharing"",""ตรัง!M460"")"),0)</f>
        <v>0</v>
      </c>
      <c r="O565" s="175">
        <f t="shared" ca="1" si="122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IFERROR(__xludf.DUMMYFUNCTION("IMPORTRANGE(""https://docs.google.com/spreadsheets/d/1IYY_tgx_IHuhSq3AJ5eI5OnqOPBNLWSHKh2a30DoXe8/edit?usp=sharing"",""ตรัง!L461"")"),122720)</f>
        <v>122720</v>
      </c>
      <c r="M566" s="169"/>
      <c r="N566" s="175">
        <f ca="1">IFERROR(__xludf.DUMMYFUNCTION("IMPORTRANGE(""https://docs.google.com/spreadsheets/d/1IYY_tgx_IHuhSq3AJ5eI5OnqOPBNLWSHKh2a30DoXe8/edit?usp=sharing"",""ตรัง!M461"")"),114096.6)</f>
        <v>114096.6</v>
      </c>
      <c r="O566" s="175">
        <f t="shared" ca="1" si="122"/>
        <v>92.973109517601046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IFERROR(__xludf.DUMMYFUNCTION("IMPORTRANGE(""https://docs.google.com/spreadsheets/d/1IYY_tgx_IHuhSq3AJ5eI5OnqOPBNLWSHKh2a30DoXe8/edit?usp=sharing"",""ตรัง!L462"")"),0)</f>
        <v>0</v>
      </c>
      <c r="M567" s="175"/>
      <c r="N567" s="175">
        <f ca="1">IFERROR(__xludf.DUMMYFUNCTION("IMPORTRANGE(""https://docs.google.com/spreadsheets/d/1IYY_tgx_IHuhSq3AJ5eI5OnqOPBNLWSHKh2a30DoXe8/edit?usp=sharing"",""ตรัง!M462"")"),0)</f>
        <v>0</v>
      </c>
      <c r="O567" s="175">
        <f t="shared" ca="1" si="122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IFERROR(__xludf.DUMMYFUNCTION("IMPORTRANGE(""https://docs.google.com/spreadsheets/d/1IYY_tgx_IHuhSq3AJ5eI5OnqOPBNLWSHKh2a30DoXe8/edit?usp=sharing"",""ตรัง!L463"")"),122720)</f>
        <v>122720</v>
      </c>
      <c r="M568" s="175"/>
      <c r="N568" s="175">
        <f ca="1">IFERROR(__xludf.DUMMYFUNCTION("IMPORTRANGE(""https://docs.google.com/spreadsheets/d/1IYY_tgx_IHuhSq3AJ5eI5OnqOPBNLWSHKh2a30DoXe8/edit?usp=sharing"",""ตรัง!M463"")"),114096.6)</f>
        <v>114096.6</v>
      </c>
      <c r="O568" s="175">
        <f t="shared" ca="1" si="122"/>
        <v>92.973109517601046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IFERROR(__xludf.DUMMYFUNCTION("IMPORTRANGE(""https://docs.google.com/spreadsheets/d/1IYY_tgx_IHuhSq3AJ5eI5OnqOPBNLWSHKh2a30DoXe8/edit?usp=sharing"",""ตรัง!M464"")"),0)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IFERROR(__xludf.DUMMYFUNCTION("IMPORTRANGE(""https://docs.google.com/spreadsheets/d/1IYY_tgx_IHuhSq3AJ5eI5OnqOPBNLWSHKh2a30DoXe8/edit?usp=sharing"",""ตรัง!M465"")"),0)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IFERROR(__xludf.DUMMYFUNCTION("IMPORTRANGE(""https://docs.google.com/spreadsheets/d/1IYY_tgx_IHuhSq3AJ5eI5OnqOPBNLWSHKh2a30DoXe8/edit?usp=sharing"",""ตรัง!M466"")"),95687)</f>
        <v>95687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IFERROR(__xludf.DUMMYFUNCTION("IMPORTRANGE(""https://docs.google.com/spreadsheets/d/1IYY_tgx_IHuhSq3AJ5eI5OnqOPBNLWSHKh2a30DoXe8/edit?usp=sharing"",""ตรัง!M467"")"),18409.6)</f>
        <v>18409.599999999999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IFERROR(__xludf.DUMMYFUNCTION("IMPORTRANGE(""https://docs.google.com/spreadsheets/d/1IYY_tgx_IHuhSq3AJ5eI5OnqOPBNLWSHKh2a30DoXe8/edit?usp=sharing"",""ตรัง!I468"")"),1000)</f>
        <v>1000</v>
      </c>
      <c r="J573" s="426">
        <f ca="1">IFERROR(__xludf.DUMMYFUNCTION("IMPORTRANGE(""https://docs.google.com/spreadsheets/d/1IYY_tgx_IHuhSq3AJ5eI5OnqOPBNLWSHKh2a30DoXe8/edit?usp=sharing"",""ตรัง!J468"")"),3808)</f>
        <v>3808</v>
      </c>
      <c r="K573" s="208">
        <f ca="1">IF(I573&gt;0,J573*100/I573,0)</f>
        <v>380.8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IFERROR(__xludf.DUMMYFUNCTION("IMPORTRANGE(""https://docs.google.com/spreadsheets/d/1IYY_tgx_IHuhSq3AJ5eI5OnqOPBNLWSHKh2a30DoXe8/edit?usp=sharing"",""ตรัง!I470"")"),0)</f>
        <v>0</v>
      </c>
      <c r="J575" s="204">
        <f ca="1">IFERROR(__xludf.DUMMYFUNCTION("IMPORTRANGE(""https://docs.google.com/spreadsheets/d/1IYY_tgx_IHuhSq3AJ5eI5OnqOPBNLWSHKh2a30DoXe8/edit?usp=sharing"",""ตรัง!J470"")"),3)</f>
        <v>3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IFERROR(__xludf.DUMMYFUNCTION("IMPORTRANGE(""https://docs.google.com/spreadsheets/d/1IYY_tgx_IHuhSq3AJ5eI5OnqOPBNLWSHKh2a30DoXe8/edit?usp=sharing"",""ตรัง!I471"")"),0)</f>
        <v>0</v>
      </c>
      <c r="J576" s="204">
        <f ca="1">IFERROR(__xludf.DUMMYFUNCTION("IMPORTRANGE(""https://docs.google.com/spreadsheets/d/1IYY_tgx_IHuhSq3AJ5eI5OnqOPBNLWSHKh2a30DoXe8/edit?usp=sharing"",""ตรัง!J471"")"),143)</f>
        <v>143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IFERROR(__xludf.DUMMYFUNCTION("IMPORTRANGE(""https://docs.google.com/spreadsheets/d/1IYY_tgx_IHuhSq3AJ5eI5OnqOPBNLWSHKh2a30DoXe8/edit?usp=sharing"",""ตรัง!I472"")"),0)</f>
        <v>0</v>
      </c>
      <c r="J577" s="195">
        <f ca="1">IFERROR(__xludf.DUMMYFUNCTION("IMPORTRANGE(""https://docs.google.com/spreadsheets/d/1IYY_tgx_IHuhSq3AJ5eI5OnqOPBNLWSHKh2a30DoXe8/edit?usp=sharing"",""ตรัง!J472"")"),3665)</f>
        <v>3665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IFERROR(__xludf.DUMMYFUNCTION("IMPORTRANGE(""https://docs.google.com/spreadsheets/d/1IYY_tgx_IHuhSq3AJ5eI5OnqOPBNLWSHKh2a30DoXe8/edit?usp=sharing"",""ตรัง!I473"")"),0)</f>
        <v>0</v>
      </c>
      <c r="J578" s="204">
        <f ca="1">IFERROR(__xludf.DUMMYFUNCTION("IMPORTRANGE(""https://docs.google.com/spreadsheets/d/1IYY_tgx_IHuhSq3AJ5eI5OnqOPBNLWSHKh2a30DoXe8/edit?usp=sharing"",""ตรัง!J473"")"),0)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IFERROR(__xludf.DUMMYFUNCTION("IMPORTRANGE(""https://docs.google.com/spreadsheets/d/1IYY_tgx_IHuhSq3AJ5eI5OnqOPBNLWSHKh2a30DoXe8/edit?usp=sharing"",""ตรัง!I474"")"),0)</f>
        <v>0</v>
      </c>
      <c r="J579" s="204">
        <f ca="1">IFERROR(__xludf.DUMMYFUNCTION("IMPORTRANGE(""https://docs.google.com/spreadsheets/d/1IYY_tgx_IHuhSq3AJ5eI5OnqOPBNLWSHKh2a30DoXe8/edit?usp=sharing"",""ตรัง!J474"")"),0)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IFERROR(__xludf.DUMMYFUNCTION("IMPORTRANGE(""https://docs.google.com/spreadsheets/d/1IYY_tgx_IHuhSq3AJ5eI5OnqOPBNLWSHKh2a30DoXe8/edit?usp=sharing"",""ตรัง!I475"")"),0)</f>
        <v>0</v>
      </c>
      <c r="J580" s="377">
        <f ca="1">IFERROR(__xludf.DUMMYFUNCTION("IMPORTRANGE(""https://docs.google.com/spreadsheets/d/1IYY_tgx_IHuhSq3AJ5eI5OnqOPBNLWSHKh2a30DoXe8/edit?usp=sharing"",""ตรัง!J475"")"),0)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IFERROR(__xludf.DUMMYFUNCTION("IMPORTRANGE(""https://docs.google.com/spreadsheets/d/1IYY_tgx_IHuhSq3AJ5eI5OnqOPBNLWSHKh2a30DoXe8/edit?usp=sharing"",""ตรัง!L475"")"),0)</f>
        <v>0</v>
      </c>
      <c r="M580" s="379"/>
      <c r="N580" s="379">
        <f ca="1">IFERROR(__xludf.DUMMYFUNCTION("IMPORTRANGE(""https://docs.google.com/spreadsheets/d/1IYY_tgx_IHuhSq3AJ5eI5OnqOPBNLWSHKh2a30DoXe8/edit?usp=sharing"",""ตรัง!M475"")"),0)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IFERROR(__xludf.DUMMYFUNCTION("IMPORTRANGE(""https://docs.google.com/spreadsheets/d/1IYY_tgx_IHuhSq3AJ5eI5OnqOPBNLWSHKh2a30DoXe8/edit?usp=sharing"",""ตรัง!L476"")"),0)</f>
        <v>0</v>
      </c>
      <c r="M581" s="168"/>
      <c r="N581" s="175">
        <f ca="1">IFERROR(__xludf.DUMMYFUNCTION("IMPORTRANGE(""https://docs.google.com/spreadsheets/d/1IYY_tgx_IHuhSq3AJ5eI5OnqOPBNLWSHKh2a30DoXe8/edit?usp=sharing"",""ตรัง!M476"")"),0)</f>
        <v>0</v>
      </c>
      <c r="O581" s="175">
        <f t="shared" ca="1" si="124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IFERROR(__xludf.DUMMYFUNCTION("IMPORTRANGE(""https://docs.google.com/spreadsheets/d/1IYY_tgx_IHuhSq3AJ5eI5OnqOPBNLWSHKh2a30DoXe8/edit?usp=sharing"",""ตรัง!L477"")"),0)</f>
        <v>0</v>
      </c>
      <c r="M582" s="169"/>
      <c r="N582" s="175">
        <f ca="1">IFERROR(__xludf.DUMMYFUNCTION("IMPORTRANGE(""https://docs.google.com/spreadsheets/d/1IYY_tgx_IHuhSq3AJ5eI5OnqOPBNLWSHKh2a30DoXe8/edit?usp=sharing"",""ตรัง!M477"")"),0)</f>
        <v>0</v>
      </c>
      <c r="O582" s="175">
        <f t="shared" ca="1" si="124"/>
        <v>0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IFERROR(__xludf.DUMMYFUNCTION("IMPORTRANGE(""https://docs.google.com/spreadsheets/d/1IYY_tgx_IHuhSq3AJ5eI5OnqOPBNLWSHKh2a30DoXe8/edit?usp=sharing"",""ตรัง!L478"")"),0)</f>
        <v>0</v>
      </c>
      <c r="M583" s="175"/>
      <c r="N583" s="175">
        <f ca="1">IFERROR(__xludf.DUMMYFUNCTION("IMPORTRANGE(""https://docs.google.com/spreadsheets/d/1IYY_tgx_IHuhSq3AJ5eI5OnqOPBNLWSHKh2a30DoXe8/edit?usp=sharing"",""ตรัง!M478"")"),0)</f>
        <v>0</v>
      </c>
      <c r="O583" s="175">
        <f t="shared" ca="1" si="124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IFERROR(__xludf.DUMMYFUNCTION("IMPORTRANGE(""https://docs.google.com/spreadsheets/d/1IYY_tgx_IHuhSq3AJ5eI5OnqOPBNLWSHKh2a30DoXe8/edit?usp=sharing"",""ตรัง!L479"")"),0)</f>
        <v>0</v>
      </c>
      <c r="M584" s="175"/>
      <c r="N584" s="175">
        <f ca="1">IFERROR(__xludf.DUMMYFUNCTION("IMPORTRANGE(""https://docs.google.com/spreadsheets/d/1IYY_tgx_IHuhSq3AJ5eI5OnqOPBNLWSHKh2a30DoXe8/edit?usp=sharing"",""ตรัง!M479"")"),0)</f>
        <v>0</v>
      </c>
      <c r="O584" s="175">
        <f t="shared" ca="1" si="124"/>
        <v>0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IFERROR(__xludf.DUMMYFUNCTION("IMPORTRANGE(""https://docs.google.com/spreadsheets/d/1IYY_tgx_IHuhSq3AJ5eI5OnqOPBNLWSHKh2a30DoXe8/edit?usp=sharing"",""ตรัง!M480"")"),0)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IFERROR(__xludf.DUMMYFUNCTION("IMPORTRANGE(""https://docs.google.com/spreadsheets/d/1IYY_tgx_IHuhSq3AJ5eI5OnqOPBNLWSHKh2a30DoXe8/edit?usp=sharing"",""ตรัง!M481"")"),0)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IFERROR(__xludf.DUMMYFUNCTION("IMPORTRANGE(""https://docs.google.com/spreadsheets/d/1IYY_tgx_IHuhSq3AJ5eI5OnqOPBNLWSHKh2a30DoXe8/edit?usp=sharing"",""ตรัง!M482"")"),0)</f>
        <v>0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IFERROR(__xludf.DUMMYFUNCTION("IMPORTRANGE(""https://docs.google.com/spreadsheets/d/1IYY_tgx_IHuhSq3AJ5eI5OnqOPBNLWSHKh2a30DoXe8/edit?usp=sharing"",""ตรัง!M483"")"),0)</f>
        <v>0</v>
      </c>
      <c r="O588" s="175"/>
      <c r="P588" s="175"/>
    </row>
    <row r="589" spans="1:16" ht="21.75" customHeight="1" x14ac:dyDescent="0.2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IFERROR(__xludf.DUMMYFUNCTION("IMPORTRANGE(""https://docs.google.com/spreadsheets/d/1IYY_tgx_IHuhSq3AJ5eI5OnqOPBNLWSHKh2a30DoXe8/edit?usp=sharing"",""ตรัง!I484"")"),0)</f>
        <v>0</v>
      </c>
      <c r="J589" s="194">
        <f ca="1">IFERROR(__xludf.DUMMYFUNCTION("IMPORTRANGE(""https://docs.google.com/spreadsheets/d/1IYY_tgx_IHuhSq3AJ5eI5OnqOPBNLWSHKh2a30DoXe8/edit?usp=sharing"",""ตรัง!J484"")"),0)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2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IFERROR(__xludf.DUMMYFUNCTION("IMPORTRANGE(""https://docs.google.com/spreadsheets/d/1IYY_tgx_IHuhSq3AJ5eI5OnqOPBNLWSHKh2a30DoXe8/edit?usp=sharing"",""ตรัง!I485"")"),0)</f>
        <v>0</v>
      </c>
      <c r="J590" s="194">
        <f ca="1">IFERROR(__xludf.DUMMYFUNCTION("IMPORTRANGE(""https://docs.google.com/spreadsheets/d/1IYY_tgx_IHuhSq3AJ5eI5OnqOPBNLWSHKh2a30DoXe8/edit?usp=sharing"",""ตรัง!J485"")"),0)</f>
        <v>0</v>
      </c>
      <c r="K590" s="486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IFERROR(__xludf.DUMMYFUNCTION("IMPORTRANGE(""https://docs.google.com/spreadsheets/d/1IYY_tgx_IHuhSq3AJ5eI5OnqOPBNLWSHKh2a30DoXe8/edit?usp=sharing"",""ตรัง!I486"")"),0)</f>
        <v>0</v>
      </c>
      <c r="J591" s="194">
        <f ca="1">IFERROR(__xludf.DUMMYFUNCTION("IMPORTRANGE(""https://docs.google.com/spreadsheets/d/1IYY_tgx_IHuhSq3AJ5eI5OnqOPBNLWSHKh2a30DoXe8/edit?usp=sharing"",""ตรัง!J486"")"),0)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2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IFERROR(__xludf.DUMMYFUNCTION("IMPORTRANGE(""https://docs.google.com/spreadsheets/d/1IYY_tgx_IHuhSq3AJ5eI5OnqOPBNLWSHKh2a30DoXe8/edit?usp=sharing"",""ตรัง!I487"")"),0)</f>
        <v>0</v>
      </c>
      <c r="J592" s="194">
        <f ca="1">IFERROR(__xludf.DUMMYFUNCTION("IMPORTRANGE(""https://docs.google.com/spreadsheets/d/1IYY_tgx_IHuhSq3AJ5eI5OnqOPBNLWSHKh2a30DoXe8/edit?usp=sharing"",""ตรัง!J487"")"),0)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IFERROR(__xludf.DUMMYFUNCTION("IMPORTRANGE(""https://docs.google.com/spreadsheets/d/1IYY_tgx_IHuhSq3AJ5eI5OnqOPBNLWSHKh2a30DoXe8/edit?usp=sharing"",""ตรัง!I488"")"),0)</f>
        <v>0</v>
      </c>
      <c r="J593" s="194">
        <f ca="1">IFERROR(__xludf.DUMMYFUNCTION("IMPORTRANGE(""https://docs.google.com/spreadsheets/d/1IYY_tgx_IHuhSq3AJ5eI5OnqOPBNLWSHKh2a30DoXe8/edit?usp=sharing"",""ตรัง!J488"")"),0)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2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IFERROR(__xludf.DUMMYFUNCTION("IMPORTRANGE(""https://docs.google.com/spreadsheets/d/1IYY_tgx_IHuhSq3AJ5eI5OnqOPBNLWSHKh2a30DoXe8/edit?usp=sharing"",""ตรัง!I489"")"),0)</f>
        <v>0</v>
      </c>
      <c r="J594" s="194">
        <f ca="1">IFERROR(__xludf.DUMMYFUNCTION("IMPORTRANGE(""https://docs.google.com/spreadsheets/d/1IYY_tgx_IHuhSq3AJ5eI5OnqOPBNLWSHKh2a30DoXe8/edit?usp=sharing"",""ตรัง!J489"")"),0)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IFERROR(__xludf.DUMMYFUNCTION("IMPORTRANGE(""https://docs.google.com/spreadsheets/d/1IYY_tgx_IHuhSq3AJ5eI5OnqOPBNLWSHKh2a30DoXe8/edit?usp=sharing"",""ตรัง!I490"")"),0)</f>
        <v>0</v>
      </c>
      <c r="J595" s="194">
        <f ca="1">IFERROR(__xludf.DUMMYFUNCTION("IMPORTRANGE(""https://docs.google.com/spreadsheets/d/1IYY_tgx_IHuhSq3AJ5eI5OnqOPBNLWSHKh2a30DoXe8/edit?usp=sharing"",""ตรัง!J490"")"),0)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2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IFERROR(__xludf.DUMMYFUNCTION("IMPORTRANGE(""https://docs.google.com/spreadsheets/d/1IYY_tgx_IHuhSq3AJ5eI5OnqOPBNLWSHKh2a30DoXe8/edit?usp=sharing"",""ตรัง!I491"")"),0)</f>
        <v>0</v>
      </c>
      <c r="J596" s="247">
        <f ca="1">IFERROR(__xludf.DUMMYFUNCTION("IMPORTRANGE(""https://docs.google.com/spreadsheets/d/1IYY_tgx_IHuhSq3AJ5eI5OnqOPBNLWSHKh2a30DoXe8/edit?usp=sharing"",""ตรัง!J491"")"),0)</f>
        <v>0</v>
      </c>
      <c r="K596" s="493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IFERROR(__xludf.DUMMYFUNCTION("IMPORTRANGE(""https://docs.google.com/spreadsheets/d/1IYY_tgx_IHuhSq3AJ5eI5OnqOPBNLWSHKh2a30DoXe8/edit?usp=sharing"",""ตรัง!I492"")"),50)</f>
        <v>50</v>
      </c>
      <c r="J597" s="494">
        <f ca="1">IFERROR(__xludf.DUMMYFUNCTION("IMPORTRANGE(""https://docs.google.com/spreadsheets/d/1IYY_tgx_IHuhSq3AJ5eI5OnqOPBNLWSHKh2a30DoXe8/edit?usp=sharing"",""ตรัง!J492"")"),0)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IFERROR(__xludf.DUMMYFUNCTION("IMPORTRANGE(""https://docs.google.com/spreadsheets/d/1IYY_tgx_IHuhSq3AJ5eI5OnqOPBNLWSHKh2a30DoXe8/edit?usp=sharing"",""ตรัง!L492"")"),9000)</f>
        <v>9000</v>
      </c>
      <c r="M597" s="418"/>
      <c r="N597" s="418">
        <f ca="1">IFERROR(__xludf.DUMMYFUNCTION("IMPORTRANGE(""https://docs.google.com/spreadsheets/d/1IYY_tgx_IHuhSq3AJ5eI5OnqOPBNLWSHKh2a30DoXe8/edit?usp=sharing"",""ตรัง!M492"")"),6196.84)</f>
        <v>6196.84</v>
      </c>
      <c r="O597" s="418">
        <f t="shared" ref="O597:O601" ca="1" si="126">+IF(L597&gt;0,N597*100/L597,0)</f>
        <v>68.853777777777779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IFERROR(__xludf.DUMMYFUNCTION("IMPORTRANGE(""https://docs.google.com/spreadsheets/d/1IYY_tgx_IHuhSq3AJ5eI5OnqOPBNLWSHKh2a30DoXe8/edit?usp=sharing"",""ตรัง!L493"")"),0)</f>
        <v>0</v>
      </c>
      <c r="M598" s="168"/>
      <c r="N598" s="175">
        <f ca="1">IFERROR(__xludf.DUMMYFUNCTION("IMPORTRANGE(""https://docs.google.com/spreadsheets/d/1IYY_tgx_IHuhSq3AJ5eI5OnqOPBNLWSHKh2a30DoXe8/edit?usp=sharing"",""ตรัง!M493"")"),0)</f>
        <v>0</v>
      </c>
      <c r="O598" s="175">
        <f t="shared" ca="1" si="126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IFERROR(__xludf.DUMMYFUNCTION("IMPORTRANGE(""https://docs.google.com/spreadsheets/d/1IYY_tgx_IHuhSq3AJ5eI5OnqOPBNLWSHKh2a30DoXe8/edit?usp=sharing"",""ตรัง!L494"")"),9000)</f>
        <v>9000</v>
      </c>
      <c r="M599" s="169"/>
      <c r="N599" s="175">
        <f ca="1">IFERROR(__xludf.DUMMYFUNCTION("IMPORTRANGE(""https://docs.google.com/spreadsheets/d/1IYY_tgx_IHuhSq3AJ5eI5OnqOPBNLWSHKh2a30DoXe8/edit?usp=sharing"",""ตรัง!M494"")"),6196.84)</f>
        <v>6196.84</v>
      </c>
      <c r="O599" s="175">
        <f t="shared" ca="1" si="126"/>
        <v>68.853777777777779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IFERROR(__xludf.DUMMYFUNCTION("IMPORTRANGE(""https://docs.google.com/spreadsheets/d/1IYY_tgx_IHuhSq3AJ5eI5OnqOPBNLWSHKh2a30DoXe8/edit?usp=sharing"",""ตรัง!L495"")"),0)</f>
        <v>0</v>
      </c>
      <c r="M600" s="175"/>
      <c r="N600" s="175">
        <f ca="1">IFERROR(__xludf.DUMMYFUNCTION("IMPORTRANGE(""https://docs.google.com/spreadsheets/d/1IYY_tgx_IHuhSq3AJ5eI5OnqOPBNLWSHKh2a30DoXe8/edit?usp=sharing"",""ตรัง!M495"")"),0)</f>
        <v>0</v>
      </c>
      <c r="O600" s="175">
        <f t="shared" ca="1" si="126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IFERROR(__xludf.DUMMYFUNCTION("IMPORTRANGE(""https://docs.google.com/spreadsheets/d/1IYY_tgx_IHuhSq3AJ5eI5OnqOPBNLWSHKh2a30DoXe8/edit?usp=sharing"",""ตรัง!L496"")"),9000)</f>
        <v>9000</v>
      </c>
      <c r="M601" s="175"/>
      <c r="N601" s="175">
        <f ca="1">IFERROR(__xludf.DUMMYFUNCTION("IMPORTRANGE(""https://docs.google.com/spreadsheets/d/1IYY_tgx_IHuhSq3AJ5eI5OnqOPBNLWSHKh2a30DoXe8/edit?usp=sharing"",""ตรัง!M496"")"),6196.84)</f>
        <v>6196.84</v>
      </c>
      <c r="O601" s="175">
        <f t="shared" ca="1" si="126"/>
        <v>68.853777777777779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IFERROR(__xludf.DUMMYFUNCTION("IMPORTRANGE(""https://docs.google.com/spreadsheets/d/1IYY_tgx_IHuhSq3AJ5eI5OnqOPBNLWSHKh2a30DoXe8/edit?usp=sharing"",""ตรัง!M497"")"),0)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IFERROR(__xludf.DUMMYFUNCTION("IMPORTRANGE(""https://docs.google.com/spreadsheets/d/1IYY_tgx_IHuhSq3AJ5eI5OnqOPBNLWSHKh2a30DoXe8/edit?usp=sharing"",""ตรัง!M498"")"),0)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IFERROR(__xludf.DUMMYFUNCTION("IMPORTRANGE(""https://docs.google.com/spreadsheets/d/1IYY_tgx_IHuhSq3AJ5eI5OnqOPBNLWSHKh2a30DoXe8/edit?usp=sharing"",""ตรัง!M499"")"),0)</f>
        <v>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IFERROR(__xludf.DUMMYFUNCTION("IMPORTRANGE(""https://docs.google.com/spreadsheets/d/1IYY_tgx_IHuhSq3AJ5eI5OnqOPBNLWSHKh2a30DoXe8/edit?usp=sharing"",""ตรัง!M500"")"),6196.84)</f>
        <v>6196.84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IFERROR(__xludf.DUMMYFUNCTION("IMPORTRANGE(""https://docs.google.com/spreadsheets/d/1IYY_tgx_IHuhSq3AJ5eI5OnqOPBNLWSHKh2a30DoXe8/edit?usp=sharing"",""ตรัง!J502"")"),0)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IFERROR(__xludf.DUMMYFUNCTION("IMPORTRANGE(""https://docs.google.com/spreadsheets/d/1IYY_tgx_IHuhSq3AJ5eI5OnqOPBNLWSHKh2a30DoXe8/edit?usp=sharing"",""ตรัง!J503"")"),1)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IFERROR(__xludf.DUMMYFUNCTION("IMPORTRANGE(""https://docs.google.com/spreadsheets/d/1IYY_tgx_IHuhSq3AJ5eI5OnqOPBNLWSHKh2a30DoXe8/edit?usp=sharing"",""ตรัง!J166"")"),0)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2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IFERROR(__xludf.DUMMYFUNCTION("IMPORTRANGE(""https://docs.google.com/spreadsheets/d/1IYY_tgx_IHuhSq3AJ5eI5OnqOPBNLWSHKh2a30DoXe8/edit?usp=sharing"",""ตรัง!J166"")"),0)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IFERROR(__xludf.DUMMYFUNCTION("IMPORTRANGE(""https://docs.google.com/spreadsheets/d/1IYY_tgx_IHuhSq3AJ5eI5OnqOPBNLWSHKh2a30DoXe8/edit?usp=sharing"",""ตรัง!I506"")"),50)</f>
        <v>50</v>
      </c>
      <c r="J611" s="166">
        <f ca="1">IFERROR(__xludf.DUMMYFUNCTION("IMPORTRANGE(""https://docs.google.com/spreadsheets/d/1IYY_tgx_IHuhSq3AJ5eI5OnqOPBNLWSHKh2a30DoXe8/edit?usp=sharing"",""ตรัง!J506"")"),0)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IFERROR(__xludf.DUMMYFUNCTION("IMPORTRANGE(""https://docs.google.com/spreadsheets/d/1IYY_tgx_IHuhSq3AJ5eI5OnqOPBNLWSHKh2a30DoXe8/edit?usp=sharing"",""ตรัง!I507"")"),0)</f>
        <v>0</v>
      </c>
      <c r="J612" s="204">
        <f ca="1">IFERROR(__xludf.DUMMYFUNCTION("IMPORTRANGE(""https://docs.google.com/spreadsheets/d/1IYY_tgx_IHuhSq3AJ5eI5OnqOPBNLWSHKh2a30DoXe8/edit?usp=sharing"",""ตรัง!J507"")"),0)</f>
        <v>0</v>
      </c>
      <c r="K612" s="167">
        <f t="shared" ca="1" si="127"/>
        <v>0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IFERROR(__xludf.DUMMYFUNCTION("IMPORTRANGE(""https://docs.google.com/spreadsheets/d/1IYY_tgx_IHuhSq3AJ5eI5OnqOPBNLWSHKh2a30DoXe8/edit?usp=sharing"",""ตรัง!I508"")"),0)</f>
        <v>0</v>
      </c>
      <c r="J613" s="204">
        <f ca="1">IFERROR(__xludf.DUMMYFUNCTION("IMPORTRANGE(""https://docs.google.com/spreadsheets/d/1IYY_tgx_IHuhSq3AJ5eI5OnqOPBNLWSHKh2a30DoXe8/edit?usp=sharing"",""ตรัง!J508"")"),0)</f>
        <v>0</v>
      </c>
      <c r="K613" s="167">
        <f t="shared" ca="1" si="127"/>
        <v>0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IFERROR(__xludf.DUMMYFUNCTION("IMPORTRANGE(""https://docs.google.com/spreadsheets/d/1IYY_tgx_IHuhSq3AJ5eI5OnqOPBNLWSHKh2a30DoXe8/edit?usp=sharing"",""ตรัง!I509"")"),0)</f>
        <v>0</v>
      </c>
      <c r="J614" s="204">
        <f ca="1">IFERROR(__xludf.DUMMYFUNCTION("IMPORTRANGE(""https://docs.google.com/spreadsheets/d/1IYY_tgx_IHuhSq3AJ5eI5OnqOPBNLWSHKh2a30DoXe8/edit?usp=sharing"",""ตรัง!J509"")"),0)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IFERROR(__xludf.DUMMYFUNCTION("IMPORTRANGE(""https://docs.google.com/spreadsheets/d/1IYY_tgx_IHuhSq3AJ5eI5OnqOPBNLWSHKh2a30DoXe8/edit?usp=sharing"",""ตรัง!I510"")"),0)</f>
        <v>0</v>
      </c>
      <c r="J615" s="204">
        <f ca="1">IFERROR(__xludf.DUMMYFUNCTION("IMPORTRANGE(""https://docs.google.com/spreadsheets/d/1IYY_tgx_IHuhSq3AJ5eI5OnqOPBNLWSHKh2a30DoXe8/edit?usp=sharing"",""ตรัง!J510"")"),0)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IFERROR(__xludf.DUMMYFUNCTION("IMPORTRANGE(""https://docs.google.com/spreadsheets/d/1IYY_tgx_IHuhSq3AJ5eI5OnqOPBNLWSHKh2a30DoXe8/edit?usp=sharing"",""ตรัง!I511"")"),0)</f>
        <v>0</v>
      </c>
      <c r="J616" s="204">
        <f ca="1">IFERROR(__xludf.DUMMYFUNCTION("IMPORTRANGE(""https://docs.google.com/spreadsheets/d/1IYY_tgx_IHuhSq3AJ5eI5OnqOPBNLWSHKh2a30DoXe8/edit?usp=sharing"",""ตรัง!J511"")"),0)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IFERROR(__xludf.DUMMYFUNCTION("IMPORTRANGE(""https://docs.google.com/spreadsheets/d/1IYY_tgx_IHuhSq3AJ5eI5OnqOPBNLWSHKh2a30DoXe8/edit?usp=sharing"",""ตรัง!I512"")"),0)</f>
        <v>0</v>
      </c>
      <c r="J617" s="194">
        <f ca="1">IFERROR(__xludf.DUMMYFUNCTION("IMPORTRANGE(""https://docs.google.com/spreadsheets/d/1IYY_tgx_IHuhSq3AJ5eI5OnqOPBNLWSHKh2a30DoXe8/edit?usp=sharing"",""ตรัง!J512"")"),0)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IFERROR(__xludf.DUMMYFUNCTION("IMPORTRANGE(""https://docs.google.com/spreadsheets/d/1IYY_tgx_IHuhSq3AJ5eI5OnqOPBNLWSHKh2a30DoXe8/edit?usp=sharing"",""ตรัง!I513"")"),0)</f>
        <v>0</v>
      </c>
      <c r="J618" s="195">
        <f ca="1">IFERROR(__xludf.DUMMYFUNCTION("IMPORTRANGE(""https://docs.google.com/spreadsheets/d/1IYY_tgx_IHuhSq3AJ5eI5OnqOPBNLWSHKh2a30DoXe8/edit?usp=sharing"",""ตรัง!J513"")"),0)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IFERROR(__xludf.DUMMYFUNCTION("IMPORTRANGE(""https://docs.google.com/spreadsheets/d/1IYY_tgx_IHuhSq3AJ5eI5OnqOPBNLWSHKh2a30DoXe8/edit?usp=sharing"",""ตรัง!I514"")"),0)</f>
        <v>0</v>
      </c>
      <c r="J619" s="195">
        <f ca="1">IFERROR(__xludf.DUMMYFUNCTION("IMPORTRANGE(""https://docs.google.com/spreadsheets/d/1IYY_tgx_IHuhSq3AJ5eI5OnqOPBNLWSHKh2a30DoXe8/edit?usp=sharing"",""ตรัง!J514"")"),0)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IFERROR(__xludf.DUMMYFUNCTION("IMPORTRANGE(""https://docs.google.com/spreadsheets/d/1IYY_tgx_IHuhSq3AJ5eI5OnqOPBNLWSHKh2a30DoXe8/edit?usp=sharing"",""ตรัง!I515"")"),0)</f>
        <v>0</v>
      </c>
      <c r="J620" s="209">
        <f ca="1">IFERROR(__xludf.DUMMYFUNCTION("IMPORTRANGE(""https://docs.google.com/spreadsheets/d/1IYY_tgx_IHuhSq3AJ5eI5OnqOPBNLWSHKh2a30DoXe8/edit?usp=sharing"",""ตรัง!J515"")"),0)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IFERROR(__xludf.DUMMYFUNCTION("IMPORTRANGE(""https://docs.google.com/spreadsheets/d/1IYY_tgx_IHuhSq3AJ5eI5OnqOPBNLWSHKh2a30DoXe8/edit?usp=sharing"",""ตรัง!I516"")"),0)</f>
        <v>0</v>
      </c>
      <c r="J621" s="209">
        <f ca="1">IFERROR(__xludf.DUMMYFUNCTION("IMPORTRANGE(""https://docs.google.com/spreadsheets/d/1IYY_tgx_IHuhSq3AJ5eI5OnqOPBNLWSHKh2a30DoXe8/edit?usp=sharing"",""ตรัง!J516"")"),0)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IFERROR(__xludf.DUMMYFUNCTION("IMPORTRANGE(""https://docs.google.com/spreadsheets/d/1IYY_tgx_IHuhSq3AJ5eI5OnqOPBNLWSHKh2a30DoXe8/edit?usp=sharing"",""ตรัง!I517"")"),0)</f>
        <v>0</v>
      </c>
      <c r="J622" s="195">
        <f ca="1">IFERROR(__xludf.DUMMYFUNCTION("IMPORTRANGE(""https://docs.google.com/spreadsheets/d/1IYY_tgx_IHuhSq3AJ5eI5OnqOPBNLWSHKh2a30DoXe8/edit?usp=sharing"",""ตรัง!J517"")"),0)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IFERROR(__xludf.DUMMYFUNCTION("IMPORTRANGE(""https://docs.google.com/spreadsheets/d/1IYY_tgx_IHuhSq3AJ5eI5OnqOPBNLWSHKh2a30DoXe8/edit?usp=sharing"",""ตรัง!I518"")"),0)</f>
        <v>0</v>
      </c>
      <c r="J623" s="195">
        <f ca="1">IFERROR(__xludf.DUMMYFUNCTION("IMPORTRANGE(""https://docs.google.com/spreadsheets/d/1IYY_tgx_IHuhSq3AJ5eI5OnqOPBNLWSHKh2a30DoXe8/edit?usp=sharing"",""ตรัง!J518"")"),0)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IFERROR(__xludf.DUMMYFUNCTION("IMPORTRANGE(""https://docs.google.com/spreadsheets/d/1IYY_tgx_IHuhSq3AJ5eI5OnqOPBNLWSHKh2a30DoXe8/edit?usp=sharing"",""ตรัง!I519"")"),0)</f>
        <v>0</v>
      </c>
      <c r="J624" s="194">
        <f ca="1">IFERROR(__xludf.DUMMYFUNCTION("IMPORTRANGE(""https://docs.google.com/spreadsheets/d/1IYY_tgx_IHuhSq3AJ5eI5OnqOPBNLWSHKh2a30DoXe8/edit?usp=sharing"",""ตรัง!J519"")"),0)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IFERROR(__xludf.DUMMYFUNCTION("IMPORTRANGE(""https://docs.google.com/spreadsheets/d/1IYY_tgx_IHuhSq3AJ5eI5OnqOPBNLWSHKh2a30DoXe8/edit?usp=sharing"",""ตรัง!I520"")"),0)</f>
        <v>0</v>
      </c>
      <c r="J625" s="195">
        <f ca="1">IFERROR(__xludf.DUMMYFUNCTION("IMPORTRANGE(""https://docs.google.com/spreadsheets/d/1IYY_tgx_IHuhSq3AJ5eI5OnqOPBNLWSHKh2a30DoXe8/edit?usp=sharing"",""ตรัง!J520"")"),0)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IFERROR(__xludf.DUMMYFUNCTION("IMPORTRANGE(""https://docs.google.com/spreadsheets/d/1IYY_tgx_IHuhSq3AJ5eI5OnqOPBNLWSHKh2a30DoXe8/edit?usp=sharing"",""ตรัง!I521"")"),0)</f>
        <v>0</v>
      </c>
      <c r="J626" s="195">
        <f ca="1">IFERROR(__xludf.DUMMYFUNCTION("IMPORTRANGE(""https://docs.google.com/spreadsheets/d/1IYY_tgx_IHuhSq3AJ5eI5OnqOPBNLWSHKh2a30DoXe8/edit?usp=sharing"",""ตรัง!J521"")"),0)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2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2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IFERROR(__xludf.DUMMYFUNCTION("IMPORTRANGE(""https://docs.google.com/spreadsheets/d/1IYY_tgx_IHuhSq3AJ5eI5OnqOPBNLWSHKh2a30DoXe8/edit?usp=sharing"",""ตรัง!I523"")"),1672600.24)</f>
        <v>1672600.24</v>
      </c>
      <c r="J628" s="347">
        <f ca="1">IFERROR(__xludf.DUMMYFUNCTION("IMPORTRANGE(""https://docs.google.com/spreadsheets/d/1IYY_tgx_IHuhSq3AJ5eI5OnqOPBNLWSHKh2a30DoXe8/edit?usp=sharing"",""ตรัง!J523"")"),1332511.16)</f>
        <v>1332511.1599999999</v>
      </c>
      <c r="K628" s="348">
        <f t="shared" ref="K628:K635" ca="1" si="129">IF(I628&gt;0,J628*100/I628,0)</f>
        <v>79.667043453252163</v>
      </c>
      <c r="L628" s="348"/>
      <c r="M628" s="348"/>
      <c r="N628" s="348"/>
      <c r="O628" s="175"/>
      <c r="P628" s="175"/>
    </row>
    <row r="629" spans="1:16" ht="21.75" customHeight="1" x14ac:dyDescent="0.2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IFERROR(__xludf.DUMMYFUNCTION("IMPORTRANGE(""https://docs.google.com/spreadsheets/d/1IYY_tgx_IHuhSq3AJ5eI5OnqOPBNLWSHKh2a30DoXe8/edit?usp=sharing"",""ตรัง!I524"")"),102)</f>
        <v>102</v>
      </c>
      <c r="J629" s="347">
        <f ca="1">IFERROR(__xludf.DUMMYFUNCTION("IMPORTRANGE(""https://docs.google.com/spreadsheets/d/1IYY_tgx_IHuhSq3AJ5eI5OnqOPBNLWSHKh2a30DoXe8/edit?usp=sharing"",""ตรัง!J524"")"),83)</f>
        <v>83</v>
      </c>
      <c r="K629" s="348">
        <f t="shared" ca="1" si="129"/>
        <v>81.372549019607845</v>
      </c>
      <c r="L629" s="348"/>
      <c r="M629" s="348"/>
      <c r="N629" s="348"/>
      <c r="O629" s="175"/>
      <c r="P629" s="175"/>
    </row>
    <row r="630" spans="1:16" ht="21.75" customHeight="1" x14ac:dyDescent="0.2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IFERROR(__xludf.DUMMYFUNCTION("IMPORTRANGE(""https://docs.google.com/spreadsheets/d/1IYY_tgx_IHuhSq3AJ5eI5OnqOPBNLWSHKh2a30DoXe8/edit?usp=sharing"",""ตรัง!I525"")"),2461069.78)</f>
        <v>2461069.7799999998</v>
      </c>
      <c r="J630" s="347">
        <f ca="1">IFERROR(__xludf.DUMMYFUNCTION("IMPORTRANGE(""https://docs.google.com/spreadsheets/d/1IYY_tgx_IHuhSq3AJ5eI5OnqOPBNLWSHKh2a30DoXe8/edit?usp=sharing"",""ตรัง!J525"")"),769371.65)</f>
        <v>769371.65</v>
      </c>
      <c r="K630" s="348">
        <f t="shared" ca="1" si="129"/>
        <v>31.261675562892819</v>
      </c>
      <c r="L630" s="348"/>
      <c r="M630" s="348"/>
      <c r="N630" s="348"/>
      <c r="O630" s="175"/>
      <c r="P630" s="175"/>
    </row>
    <row r="631" spans="1:16" ht="21.75" customHeight="1" x14ac:dyDescent="0.2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IFERROR(__xludf.DUMMYFUNCTION("IMPORTRANGE(""https://docs.google.com/spreadsheets/d/1IYY_tgx_IHuhSq3AJ5eI5OnqOPBNLWSHKh2a30DoXe8/edit?usp=sharing"",""ตรัง!I526"")"),89)</f>
        <v>89</v>
      </c>
      <c r="J631" s="347">
        <f ca="1">IFERROR(__xludf.DUMMYFUNCTION("IMPORTRANGE(""https://docs.google.com/spreadsheets/d/1IYY_tgx_IHuhSq3AJ5eI5OnqOPBNLWSHKh2a30DoXe8/edit?usp=sharing"",""ตรัง!J526"")"),65)</f>
        <v>65</v>
      </c>
      <c r="K631" s="348">
        <f t="shared" ca="1" si="129"/>
        <v>73.033707865168537</v>
      </c>
      <c r="L631" s="348"/>
      <c r="M631" s="348"/>
      <c r="N631" s="348"/>
      <c r="O631" s="175"/>
      <c r="P631" s="175"/>
    </row>
    <row r="632" spans="1:16" ht="21.75" customHeight="1" x14ac:dyDescent="0.2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IFERROR(__xludf.DUMMYFUNCTION("IMPORTRANGE(""https://docs.google.com/spreadsheets/d/1IYY_tgx_IHuhSq3AJ5eI5OnqOPBNLWSHKh2a30DoXe8/edit?usp=sharing"",""ตรัง!I527"")"),0)</f>
        <v>0</v>
      </c>
      <c r="J632" s="347">
        <f ca="1">IFERROR(__xludf.DUMMYFUNCTION("IMPORTRANGE(""https://docs.google.com/spreadsheets/d/1IYY_tgx_IHuhSq3AJ5eI5OnqOPBNLWSHKh2a30DoXe8/edit?usp=sharing"",""ตรัง!J527"")"),0)</f>
        <v>0</v>
      </c>
      <c r="K632" s="348">
        <f t="shared" ca="1" si="129"/>
        <v>0</v>
      </c>
      <c r="L632" s="348"/>
      <c r="M632" s="348"/>
      <c r="N632" s="348"/>
      <c r="O632" s="175"/>
      <c r="P632" s="175"/>
    </row>
    <row r="633" spans="1:16" ht="21.75" customHeight="1" x14ac:dyDescent="0.2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IFERROR(__xludf.DUMMYFUNCTION("IMPORTRANGE(""https://docs.google.com/spreadsheets/d/1IYY_tgx_IHuhSq3AJ5eI5OnqOPBNLWSHKh2a30DoXe8/edit?usp=sharing"",""ตรัง!I528"")"),0)</f>
        <v>0</v>
      </c>
      <c r="J633" s="347">
        <f ca="1">IFERROR(__xludf.DUMMYFUNCTION("IMPORTRANGE(""https://docs.google.com/spreadsheets/d/1IYY_tgx_IHuhSq3AJ5eI5OnqOPBNLWSHKh2a30DoXe8/edit?usp=sharing"",""ตรัง!J528"")"),0)</f>
        <v>0</v>
      </c>
      <c r="K633" s="348">
        <f t="shared" ca="1" si="129"/>
        <v>0</v>
      </c>
      <c r="L633" s="348"/>
      <c r="M633" s="348"/>
      <c r="N633" s="348"/>
      <c r="O633" s="175"/>
      <c r="P633" s="175"/>
    </row>
    <row r="634" spans="1:16" ht="21.75" customHeight="1" x14ac:dyDescent="0.2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IFERROR(__xludf.DUMMYFUNCTION("IMPORTRANGE(""https://docs.google.com/spreadsheets/d/1IYY_tgx_IHuhSq3AJ5eI5OnqOPBNLWSHKh2a30DoXe8/edit?usp=sharing"",""ตรัง!I529"")"),1200000)</f>
        <v>1200000</v>
      </c>
      <c r="J634" s="347">
        <f ca="1">IFERROR(__xludf.DUMMYFUNCTION("IMPORTRANGE(""https://docs.google.com/spreadsheets/d/1IYY_tgx_IHuhSq3AJ5eI5OnqOPBNLWSHKh2a30DoXe8/edit?usp=sharing"",""ตรัง!J529"")"),1200000)</f>
        <v>1200000</v>
      </c>
      <c r="K634" s="348">
        <f t="shared" ca="1" si="129"/>
        <v>100</v>
      </c>
      <c r="L634" s="348"/>
      <c r="M634" s="348"/>
      <c r="N634" s="348"/>
      <c r="O634" s="175"/>
      <c r="P634" s="175"/>
    </row>
    <row r="635" spans="1:16" ht="21.75" customHeight="1" x14ac:dyDescent="0.25">
      <c r="A635" s="487"/>
      <c r="B635" s="489"/>
      <c r="C635" s="489"/>
      <c r="D635" s="488"/>
      <c r="E635" s="515"/>
      <c r="F635" s="515"/>
      <c r="G635" s="516"/>
      <c r="H635" s="517" t="s">
        <v>37</v>
      </c>
      <c r="I635" s="518">
        <f ca="1">IFERROR(__xludf.DUMMYFUNCTION("IMPORTRANGE(""https://docs.google.com/spreadsheets/d/1IYY_tgx_IHuhSq3AJ5eI5OnqOPBNLWSHKh2a30DoXe8/edit?usp=sharing"",""ตรัง!I530"")"),24)</f>
        <v>24</v>
      </c>
      <c r="J635" s="518">
        <f ca="1">IFERROR(__xludf.DUMMYFUNCTION("IMPORTRANGE(""https://docs.google.com/spreadsheets/d/1IYY_tgx_IHuhSq3AJ5eI5OnqOPBNLWSHKh2a30DoXe8/edit?usp=sharing"",""ตรัง!J530"")"),25)</f>
        <v>25</v>
      </c>
      <c r="K635" s="493">
        <f t="shared" ca="1" si="129"/>
        <v>104.16666666666667</v>
      </c>
      <c r="L635" s="493"/>
      <c r="M635" s="493"/>
      <c r="N635" s="493"/>
      <c r="O635" s="519"/>
      <c r="P635" s="519"/>
    </row>
    <row r="636" spans="1:16" ht="21.75" customHeight="1" x14ac:dyDescent="0.3">
      <c r="A636" s="520"/>
      <c r="B636" s="599" t="s">
        <v>237</v>
      </c>
      <c r="C636" s="600"/>
      <c r="D636" s="600"/>
      <c r="E636" s="600"/>
      <c r="F636" s="600"/>
      <c r="G636" s="600"/>
      <c r="H636" s="521"/>
      <c r="I636" s="521"/>
      <c r="J636" s="521"/>
      <c r="K636" s="522"/>
      <c r="L636" s="523">
        <f ca="1">SUM(L637,L638)</f>
        <v>0</v>
      </c>
      <c r="M636" s="524"/>
      <c r="N636" s="523">
        <f ca="1">SUM(N637:N638)</f>
        <v>0</v>
      </c>
      <c r="O636" s="523">
        <f t="shared" ref="O636:O640" ca="1" si="130">+IF(L636&gt;0,N636*100/L636,0)</f>
        <v>0</v>
      </c>
      <c r="P636" s="523"/>
    </row>
    <row r="637" spans="1:16" ht="21.75" customHeight="1" x14ac:dyDescent="0.3">
      <c r="A637" s="525"/>
      <c r="B637" s="526"/>
      <c r="C637" s="527" t="s">
        <v>16</v>
      </c>
      <c r="D637" s="601" t="s">
        <v>77</v>
      </c>
      <c r="E637" s="575"/>
      <c r="F637" s="575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130"/>
        <v>0</v>
      </c>
      <c r="P637" s="535"/>
    </row>
    <row r="638" spans="1:16" ht="21.75" customHeight="1" x14ac:dyDescent="0.3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0</v>
      </c>
      <c r="M638" s="534"/>
      <c r="N638" s="535">
        <f ca="1">SUM(N639:N640)</f>
        <v>0</v>
      </c>
      <c r="O638" s="535">
        <f t="shared" ca="1" si="130"/>
        <v>0</v>
      </c>
      <c r="P638" s="535"/>
    </row>
    <row r="639" spans="1:16" ht="21.75" customHeight="1" x14ac:dyDescent="0.3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130"/>
        <v>0</v>
      </c>
      <c r="P639" s="535"/>
    </row>
    <row r="640" spans="1:16" ht="21.75" customHeight="1" x14ac:dyDescent="0.3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0</v>
      </c>
      <c r="M640" s="534"/>
      <c r="N640" s="535">
        <f ca="1">SUM(N641:N644)</f>
        <v>0</v>
      </c>
      <c r="O640" s="535">
        <f t="shared" ca="1" si="130"/>
        <v>0</v>
      </c>
      <c r="P640" s="535"/>
    </row>
    <row r="641" spans="1:16" ht="21.75" customHeight="1" x14ac:dyDescent="0.3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3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3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3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0</v>
      </c>
      <c r="O644" s="537"/>
      <c r="P644" s="537"/>
    </row>
    <row r="645" spans="1:16" ht="21.75" customHeight="1" x14ac:dyDescent="0.3">
      <c r="A645" s="539"/>
      <c r="B645" s="540"/>
      <c r="C645" s="527" t="s">
        <v>16</v>
      </c>
      <c r="D645" s="602" t="s">
        <v>242</v>
      </c>
      <c r="E645" s="575"/>
      <c r="F645" s="575"/>
      <c r="G645" s="575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3">
      <c r="A646" s="539"/>
      <c r="B646" s="540"/>
      <c r="C646" s="540"/>
      <c r="D646" s="541">
        <v>1</v>
      </c>
      <c r="E646" s="603" t="s">
        <v>44</v>
      </c>
      <c r="F646" s="575"/>
      <c r="G646" s="575"/>
      <c r="H646" s="536"/>
      <c r="I646" s="542"/>
      <c r="J646" s="543">
        <f ca="1">IFERROR(__xludf.DUMMYFUNCTION("IMPORTRANGE(""https://docs.google.com/spreadsheets/d/1IYY_tgx_IHuhSq3AJ5eI5OnqOPBNLWSHKh2a30DoXe8/edit?usp=sharing"",""ตรัง!J541"")"),0)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3">
      <c r="A647" s="539"/>
      <c r="B647" s="540"/>
      <c r="C647" s="540"/>
      <c r="D647" s="545">
        <v>2</v>
      </c>
      <c r="E647" s="604" t="s">
        <v>243</v>
      </c>
      <c r="F647" s="575"/>
      <c r="G647" s="575"/>
      <c r="H647" s="536"/>
      <c r="I647" s="542"/>
      <c r="J647" s="543">
        <f ca="1">IFERROR(__xludf.DUMMYFUNCTION("IMPORTRANGE(""https://docs.google.com/spreadsheets/d/1IYY_tgx_IHuhSq3AJ5eI5OnqOPBNLWSHKh2a30DoXe8/edit?usp=sharing"",""ตรัง!J542"")"),0)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3">
      <c r="A648" s="525"/>
      <c r="B648" s="526"/>
      <c r="C648" s="526"/>
      <c r="D648" s="526"/>
      <c r="E648" s="526"/>
      <c r="F648" s="598" t="s">
        <v>244</v>
      </c>
      <c r="G648" s="575"/>
      <c r="H648" s="529" t="s">
        <v>122</v>
      </c>
      <c r="I648" s="546">
        <f ca="1">IFERROR(__xludf.DUMMYFUNCTION("IMPORTRANGE(""https://docs.google.com/spreadsheets/d/1IYY_tgx_IHuhSq3AJ5eI5OnqOPBNLWSHKh2a30DoXe8/edit?usp=sharing"",""ตรัง!I543"")"),0)</f>
        <v>0</v>
      </c>
      <c r="J648" s="547">
        <f ca="1">IFERROR(__xludf.DUMMYFUNCTION("IMPORTRANGE(""https://docs.google.com/spreadsheets/d/1IYY_tgx_IHuhSq3AJ5eI5OnqOPBNLWSHKh2a30DoXe8/edit?usp=sharing"",""ตรัง!J543"")"),0)</f>
        <v>0</v>
      </c>
      <c r="K648" s="548">
        <f t="shared" ref="K648:K651" ca="1" si="131">IF(I648&gt;0,J648*100/I648,0)</f>
        <v>0</v>
      </c>
      <c r="L648" s="535">
        <f ca="1">IFERROR(__xludf.DUMMYFUNCTION("IMPORTRANGE(""https://docs.google.com/spreadsheets/d/1IYY_tgx_IHuhSq3AJ5eI5OnqOPBNLWSHKh2a30DoXe8/edit?usp=sharing"",""ตรัง!L543"")"),0)</f>
        <v>0</v>
      </c>
      <c r="M648" s="534"/>
      <c r="N648" s="549">
        <f ca="1">IFERROR(__xludf.DUMMYFUNCTION("IMPORTRANGE(""https://docs.google.com/spreadsheets/d/1IYY_tgx_IHuhSq3AJ5eI5OnqOPBNLWSHKh2a30DoXe8/edit?usp=sharing"",""ตรัง!M543"")"),0)</f>
        <v>0</v>
      </c>
      <c r="O648" s="548">
        <f t="shared" ref="O648:O651" ca="1" si="132">IF(L648&gt;0,N648*100/L648,0)</f>
        <v>0</v>
      </c>
      <c r="P648" s="548"/>
    </row>
    <row r="649" spans="1:16" ht="21.75" customHeight="1" x14ac:dyDescent="0.3">
      <c r="A649" s="525"/>
      <c r="B649" s="526"/>
      <c r="C649" s="526"/>
      <c r="D649" s="526"/>
      <c r="E649" s="526"/>
      <c r="F649" s="598" t="s">
        <v>245</v>
      </c>
      <c r="G649" s="575"/>
      <c r="H649" s="529" t="s">
        <v>37</v>
      </c>
      <c r="I649" s="546">
        <f ca="1">IFERROR(__xludf.DUMMYFUNCTION("IMPORTRANGE(""https://docs.google.com/spreadsheets/d/1IYY_tgx_IHuhSq3AJ5eI5OnqOPBNLWSHKh2a30DoXe8/edit?usp=sharing"",""ตรัง!I544"")"),0)</f>
        <v>0</v>
      </c>
      <c r="J649" s="547">
        <f ca="1">IFERROR(__xludf.DUMMYFUNCTION("IMPORTRANGE(""https://docs.google.com/spreadsheets/d/1IYY_tgx_IHuhSq3AJ5eI5OnqOPBNLWSHKh2a30DoXe8/edit?usp=sharing"",""ตรัง!J544"")"),0)</f>
        <v>0</v>
      </c>
      <c r="K649" s="548">
        <f t="shared" ca="1" si="131"/>
        <v>0</v>
      </c>
      <c r="L649" s="535">
        <f ca="1">IFERROR(__xludf.DUMMYFUNCTION("IMPORTRANGE(""https://docs.google.com/spreadsheets/d/1IYY_tgx_IHuhSq3AJ5eI5OnqOPBNLWSHKh2a30DoXe8/edit?usp=sharing"",""ตรัง!L544"")"),0)</f>
        <v>0</v>
      </c>
      <c r="M649" s="534"/>
      <c r="N649" s="549">
        <f ca="1">IFERROR(__xludf.DUMMYFUNCTION("IMPORTRANGE(""https://docs.google.com/spreadsheets/d/1IYY_tgx_IHuhSq3AJ5eI5OnqOPBNLWSHKh2a30DoXe8/edit?usp=sharing"",""ตรัง!M544"")"),0)</f>
        <v>0</v>
      </c>
      <c r="O649" s="548">
        <f t="shared" ca="1" si="132"/>
        <v>0</v>
      </c>
      <c r="P649" s="548"/>
    </row>
    <row r="650" spans="1:16" ht="21.75" customHeight="1" x14ac:dyDescent="0.3">
      <c r="A650" s="525"/>
      <c r="B650" s="526"/>
      <c r="C650" s="526"/>
      <c r="D650" s="526"/>
      <c r="E650" s="526"/>
      <c r="F650" s="598" t="s">
        <v>246</v>
      </c>
      <c r="G650" s="575"/>
      <c r="H650" s="529" t="s">
        <v>122</v>
      </c>
      <c r="I650" s="546">
        <f ca="1">IFERROR(__xludf.DUMMYFUNCTION("IMPORTRANGE(""https://docs.google.com/spreadsheets/d/1IYY_tgx_IHuhSq3AJ5eI5OnqOPBNLWSHKh2a30DoXe8/edit?usp=sharing"",""ตรัง!I545"")"),0)</f>
        <v>0</v>
      </c>
      <c r="J650" s="547">
        <f ca="1">IFERROR(__xludf.DUMMYFUNCTION("IMPORTRANGE(""https://docs.google.com/spreadsheets/d/1IYY_tgx_IHuhSq3AJ5eI5OnqOPBNLWSHKh2a30DoXe8/edit?usp=sharing"",""ตรัง!J545"")"),0)</f>
        <v>0</v>
      </c>
      <c r="K650" s="548">
        <f t="shared" ca="1" si="131"/>
        <v>0</v>
      </c>
      <c r="L650" s="535">
        <f ca="1">IFERROR(__xludf.DUMMYFUNCTION("IMPORTRANGE(""https://docs.google.com/spreadsheets/d/1IYY_tgx_IHuhSq3AJ5eI5OnqOPBNLWSHKh2a30DoXe8/edit?usp=sharing"",""ตรัง!L545"")"),0)</f>
        <v>0</v>
      </c>
      <c r="M650" s="534"/>
      <c r="N650" s="549">
        <f ca="1">IFERROR(__xludf.DUMMYFUNCTION("IMPORTRANGE(""https://docs.google.com/spreadsheets/d/1IYY_tgx_IHuhSq3AJ5eI5OnqOPBNLWSHKh2a30DoXe8/edit?usp=sharing"",""ตรัง!M545"")"),0)</f>
        <v>0</v>
      </c>
      <c r="O650" s="548">
        <f t="shared" ca="1" si="132"/>
        <v>0</v>
      </c>
      <c r="P650" s="548"/>
    </row>
    <row r="651" spans="1:16" ht="21.75" customHeight="1" x14ac:dyDescent="0.3">
      <c r="A651" s="525"/>
      <c r="B651" s="526"/>
      <c r="C651" s="526"/>
      <c r="D651" s="526"/>
      <c r="E651" s="526"/>
      <c r="F651" s="598" t="s">
        <v>247</v>
      </c>
      <c r="G651" s="575"/>
      <c r="H651" s="529" t="s">
        <v>122</v>
      </c>
      <c r="I651" s="546">
        <f ca="1">IFERROR(__xludf.DUMMYFUNCTION("IMPORTRANGE(""https://docs.google.com/spreadsheets/d/1IYY_tgx_IHuhSq3AJ5eI5OnqOPBNLWSHKh2a30DoXe8/edit?usp=sharing"",""ตรัง!I546"")"),0)</f>
        <v>0</v>
      </c>
      <c r="J651" s="547">
        <f ca="1">J657+J660</f>
        <v>0</v>
      </c>
      <c r="K651" s="548">
        <f t="shared" ca="1" si="131"/>
        <v>0</v>
      </c>
      <c r="L651" s="535">
        <f ca="1">IFERROR(__xludf.DUMMYFUNCTION("IMPORTRANGE(""https://docs.google.com/spreadsheets/d/1IYY_tgx_IHuhSq3AJ5eI5OnqOPBNLWSHKh2a30DoXe8/edit?usp=sharing"",""ตรัง!L546"")"),0)</f>
        <v>0</v>
      </c>
      <c r="M651" s="534"/>
      <c r="N651" s="549">
        <f ca="1">IFERROR(__xludf.DUMMYFUNCTION("IMPORTRANGE(""https://docs.google.com/spreadsheets/d/1IYY_tgx_IHuhSq3AJ5eI5OnqOPBNLWSHKh2a30DoXe8/edit?usp=sharing"",""ตรัง!M546"")"),0)</f>
        <v>0</v>
      </c>
      <c r="O651" s="548">
        <f t="shared" ca="1" si="132"/>
        <v>0</v>
      </c>
      <c r="P651" s="548"/>
    </row>
    <row r="652" spans="1:16" ht="21.75" customHeight="1" x14ac:dyDescent="0.3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IFERROR(__xludf.DUMMYFUNCTION("IMPORTRANGE(""https://docs.google.com/spreadsheets/d/1IYY_tgx_IHuhSq3AJ5eI5OnqOPBNLWSHKh2a30DoXe8/edit?usp=sharing"",""ตรัง!J547"")"),0)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3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IFERROR(__xludf.DUMMYFUNCTION("IMPORTRANGE(""https://docs.google.com/spreadsheets/d/1IYY_tgx_IHuhSq3AJ5eI5OnqOPBNLWSHKh2a30DoXe8/edit?usp=sharing"",""ตรัง!J548"")"),0)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3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3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IFERROR(__xludf.DUMMYFUNCTION("IMPORTRANGE(""https://docs.google.com/spreadsheets/d/1IYY_tgx_IHuhSq3AJ5eI5OnqOPBNLWSHKh2a30DoXe8/edit?usp=sharing"",""ตรัง!J550"")"),0)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3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IFERROR(__xludf.DUMMYFUNCTION("IMPORTRANGE(""https://docs.google.com/spreadsheets/d/1IYY_tgx_IHuhSq3AJ5eI5OnqOPBNLWSHKh2a30DoXe8/edit?usp=sharing"",""ตรัง!J551"")"),0)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3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IFERROR(__xludf.DUMMYFUNCTION("IMPORTRANGE(""https://docs.google.com/spreadsheets/d/1IYY_tgx_IHuhSq3AJ5eI5OnqOPBNLWSHKh2a30DoXe8/edit?usp=sharing"",""ตรัง!J552"")"),0)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3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IFERROR(__xludf.DUMMYFUNCTION("IMPORTRANGE(""https://docs.google.com/spreadsheets/d/1IYY_tgx_IHuhSq3AJ5eI5OnqOPBNLWSHKh2a30DoXe8/edit?usp=sharing"",""ตรัง!J553"")"),0)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3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IFERROR(__xludf.DUMMYFUNCTION("IMPORTRANGE(""https://docs.google.com/spreadsheets/d/1IYY_tgx_IHuhSq3AJ5eI5OnqOPBNLWSHKh2a30DoXe8/edit?usp=sharing"",""ตรัง!J554"")"),0)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3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IFERROR(__xludf.DUMMYFUNCTION("IMPORTRANGE(""https://docs.google.com/spreadsheets/d/1IYY_tgx_IHuhSq3AJ5eI5OnqOPBNLWSHKh2a30DoXe8/edit?usp=sharing"",""ตรัง!J555"")"),0)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3">
      <c r="A661" s="525"/>
      <c r="B661" s="526"/>
      <c r="C661" s="526"/>
      <c r="D661" s="526"/>
      <c r="E661" s="526"/>
      <c r="F661" s="598" t="s">
        <v>252</v>
      </c>
      <c r="G661" s="575"/>
      <c r="H661" s="529" t="s">
        <v>37</v>
      </c>
      <c r="I661" s="550"/>
      <c r="J661" s="547">
        <f ca="1">IFERROR(__xludf.DUMMYFUNCTION("IMPORTRANGE(""https://docs.google.com/spreadsheets/d/1IYY_tgx_IHuhSq3AJ5eI5OnqOPBNLWSHKh2a30DoXe8/edit?usp=sharing"",""ตรัง!J556"")"),0)</f>
        <v>0</v>
      </c>
      <c r="K661" s="548"/>
      <c r="L661" s="535">
        <f ca="1">IFERROR(__xludf.DUMMYFUNCTION("IMPORTRANGE(""https://docs.google.com/spreadsheets/d/1IYY_tgx_IHuhSq3AJ5eI5OnqOPBNLWSHKh2a30DoXe8/edit?usp=sharing"",""ตรัง!L556"")"),0)</f>
        <v>0</v>
      </c>
      <c r="M661" s="534"/>
      <c r="N661" s="549">
        <f ca="1">IFERROR(__xludf.DUMMYFUNCTION("IMPORTRANGE(""https://docs.google.com/spreadsheets/d/1IYY_tgx_IHuhSq3AJ5eI5OnqOPBNLWSHKh2a30DoXe8/edit?usp=sharing"",""ตรัง!M556"")"),0)</f>
        <v>0</v>
      </c>
      <c r="O661" s="548">
        <f ca="1">IF(L661&gt;0,N661*100/L661,0)</f>
        <v>0</v>
      </c>
      <c r="P661" s="548"/>
    </row>
    <row r="662" spans="1:16" ht="21.75" customHeight="1" x14ac:dyDescent="0.3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IFERROR(__xludf.DUMMYFUNCTION("IMPORTRANGE(""https://docs.google.com/spreadsheets/d/1IYY_tgx_IHuhSq3AJ5eI5OnqOPBNLWSHKh2a30DoXe8/edit?usp=sharing"",""ตรัง!J557"")"),0)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3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IFERROR(__xludf.DUMMYFUNCTION("IMPORTRANGE(""https://docs.google.com/spreadsheets/d/1IYY_tgx_IHuhSq3AJ5eI5OnqOPBNLWSHKh2a30DoXe8/edit?usp=sharing"",""ตรัง!I558"")"),0)</f>
        <v>0</v>
      </c>
      <c r="J663" s="547">
        <f ca="1">IFERROR(__xludf.DUMMYFUNCTION("IMPORTRANGE(""https://docs.google.com/spreadsheets/d/1IYY_tgx_IHuhSq3AJ5eI5OnqOPBNLWSHKh2a30DoXe8/edit?usp=sharing"",""ตรัง!J558"")"),0)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3">
      <c r="A664" s="525"/>
      <c r="B664" s="526"/>
      <c r="C664" s="526"/>
      <c r="D664" s="526"/>
      <c r="E664" s="526"/>
      <c r="F664" s="598" t="s">
        <v>253</v>
      </c>
      <c r="G664" s="575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3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IFERROR(__xludf.DUMMYFUNCTION("IMPORTRANGE(""https://docs.google.com/spreadsheets/d/1IYY_tgx_IHuhSq3AJ5eI5OnqOPBNLWSHKh2a30DoXe8/edit?usp=sharing"",""ตรัง!I560"")"),0)</f>
        <v>0</v>
      </c>
      <c r="J665" s="547">
        <f ca="1">IFERROR(__xludf.DUMMYFUNCTION("IMPORTRANGE(""https://docs.google.com/spreadsheets/d/1IYY_tgx_IHuhSq3AJ5eI5OnqOPBNLWSHKh2a30DoXe8/edit?usp=sharing"",""ตรัง!J560"")"),0)</f>
        <v>0</v>
      </c>
      <c r="K665" s="548">
        <f ca="1">IF(I665&gt;0,J665*100/I665,0)</f>
        <v>0</v>
      </c>
      <c r="L665" s="535">
        <f ca="1">IFERROR(__xludf.DUMMYFUNCTION("IMPORTRANGE(""https://docs.google.com/spreadsheets/d/1IYY_tgx_IHuhSq3AJ5eI5OnqOPBNLWSHKh2a30DoXe8/edit?usp=sharing"",""ตรัง!L560"")"),0)</f>
        <v>0</v>
      </c>
      <c r="M665" s="534"/>
      <c r="N665" s="549">
        <f ca="1">IFERROR(__xludf.DUMMYFUNCTION("IMPORTRANGE(""https://docs.google.com/spreadsheets/d/1IYY_tgx_IHuhSq3AJ5eI5OnqOPBNLWSHKh2a30DoXe8/edit?usp=sharing"",""ตรัง!M560"")"),0)</f>
        <v>0</v>
      </c>
      <c r="O665" s="548">
        <f ca="1">IF(L665&gt;0,N665*100/L665,0)</f>
        <v>0</v>
      </c>
      <c r="P665" s="548"/>
    </row>
    <row r="666" spans="1:16" ht="21.75" customHeight="1" x14ac:dyDescent="0.3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IFERROR(__xludf.DUMMYFUNCTION("IMPORTRANGE(""https://docs.google.com/spreadsheets/d/1IYY_tgx_IHuhSq3AJ5eI5OnqOPBNLWSHKh2a30DoXe8/edit?usp=sharing"",""ตรัง!J561"")"),0)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3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IFERROR(__xludf.DUMMYFUNCTION("IMPORTRANGE(""https://docs.google.com/spreadsheets/d/1IYY_tgx_IHuhSq3AJ5eI5OnqOPBNLWSHKh2a30DoXe8/edit?usp=sharing"",""ตรัง!J562"")"),0)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3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IFERROR(__xludf.DUMMYFUNCTION("IMPORTRANGE(""https://docs.google.com/spreadsheets/d/1IYY_tgx_IHuhSq3AJ5eI5OnqOPBNLWSHKh2a30DoXe8/edit?usp=sharing"",""ตรัง!I563"")"),0)</f>
        <v>0</v>
      </c>
      <c r="J668" s="547">
        <f ca="1">IFERROR(__xludf.DUMMYFUNCTION("IMPORTRANGE(""https://docs.google.com/spreadsheets/d/1IYY_tgx_IHuhSq3AJ5eI5OnqOPBNLWSHKh2a30DoXe8/edit?usp=sharing"",""ตรัง!J563"")"),0)</f>
        <v>0</v>
      </c>
      <c r="K668" s="548">
        <f ca="1">IF(I668&gt;0,J668*100/I668,0)</f>
        <v>0</v>
      </c>
      <c r="L668" s="535">
        <f ca="1">IFERROR(__xludf.DUMMYFUNCTION("IMPORTRANGE(""https://docs.google.com/spreadsheets/d/1IYY_tgx_IHuhSq3AJ5eI5OnqOPBNLWSHKh2a30DoXe8/edit?usp=sharing"",""ตรัง!L563"")"),0)</f>
        <v>0</v>
      </c>
      <c r="M668" s="534"/>
      <c r="N668" s="549">
        <f ca="1">IFERROR(__xludf.DUMMYFUNCTION("IMPORTRANGE(""https://docs.google.com/spreadsheets/d/1IYY_tgx_IHuhSq3AJ5eI5OnqOPBNLWSHKh2a30DoXe8/edit?usp=sharing"",""ตรัง!M563"")"),0)</f>
        <v>0</v>
      </c>
      <c r="O668" s="548">
        <f ca="1">IF(L668&gt;0,N668*100/L668,0)</f>
        <v>0</v>
      </c>
      <c r="P668" s="548"/>
    </row>
    <row r="669" spans="1:16" ht="21.75" customHeight="1" x14ac:dyDescent="0.3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IFERROR(__xludf.DUMMYFUNCTION("IMPORTRANGE(""https://docs.google.com/spreadsheets/d/1IYY_tgx_IHuhSq3AJ5eI5OnqOPBNLWSHKh2a30DoXe8/edit?usp=sharing"",""ตรัง!J564"")"),0)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3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IFERROR(__xludf.DUMMYFUNCTION("IMPORTRANGE(""https://docs.google.com/spreadsheets/d/1IYY_tgx_IHuhSq3AJ5eI5OnqOPBNLWSHKh2a30DoXe8/edit?usp=sharing"",""ตรัง!J565"")"),0)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3">
      <c r="A671" s="525"/>
      <c r="B671" s="526"/>
      <c r="C671" s="526"/>
      <c r="D671" s="526"/>
      <c r="E671" s="526"/>
      <c r="F671" s="598" t="s">
        <v>256</v>
      </c>
      <c r="G671" s="575"/>
      <c r="H671" s="529" t="s">
        <v>122</v>
      </c>
      <c r="I671" s="546">
        <f ca="1">IFERROR(__xludf.DUMMYFUNCTION("IMPORTRANGE(""https://docs.google.com/spreadsheets/d/1IYY_tgx_IHuhSq3AJ5eI5OnqOPBNLWSHKh2a30DoXe8/edit?usp=sharing"",""ตรัง!I566"")"),0)</f>
        <v>0</v>
      </c>
      <c r="J671" s="547">
        <f ca="1">J674+J677</f>
        <v>0</v>
      </c>
      <c r="K671" s="548">
        <f ca="1">IF(I671&gt;0,J671*100/I671,0)</f>
        <v>0</v>
      </c>
      <c r="L671" s="535">
        <f ca="1">IFERROR(__xludf.DUMMYFUNCTION("IMPORTRANGE(""https://docs.google.com/spreadsheets/d/1IYY_tgx_IHuhSq3AJ5eI5OnqOPBNLWSHKh2a30DoXe8/edit?usp=sharing"",""ตรัง!L566"")"),0)</f>
        <v>0</v>
      </c>
      <c r="M671" s="534"/>
      <c r="N671" s="549">
        <f ca="1">IFERROR(__xludf.DUMMYFUNCTION("IMPORTRANGE(""https://docs.google.com/spreadsheets/d/1IYY_tgx_IHuhSq3AJ5eI5OnqOPBNLWSHKh2a30DoXe8/edit?usp=sharing"",""ตรัง!M566"")"),0)</f>
        <v>0</v>
      </c>
      <c r="O671" s="548">
        <f ca="1">IF(L671&gt;0,N671*100/L671,0)</f>
        <v>0</v>
      </c>
      <c r="P671" s="548"/>
    </row>
    <row r="672" spans="1:16" ht="21.75" customHeight="1" x14ac:dyDescent="0.3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IFERROR(__xludf.DUMMYFUNCTION("IMPORTRANGE(""https://docs.google.com/spreadsheets/d/1IYY_tgx_IHuhSq3AJ5eI5OnqOPBNLWSHKh2a30DoXe8/edit?usp=sharing"",""ตรัง!J567"")"),0)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3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IFERROR(__xludf.DUMMYFUNCTION("IMPORTRANGE(""https://docs.google.com/spreadsheets/d/1IYY_tgx_IHuhSq3AJ5eI5OnqOPBNLWSHKh2a30DoXe8/edit?usp=sharing"",""ตรัง!J568"")"),0)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3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IFERROR(__xludf.DUMMYFUNCTION("IMPORTRANGE(""https://docs.google.com/spreadsheets/d/1IYY_tgx_IHuhSq3AJ5eI5OnqOPBNLWSHKh2a30DoXe8/edit?usp=sharing"",""ตรัง!J569"")"),0)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3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IFERROR(__xludf.DUMMYFUNCTION("IMPORTRANGE(""https://docs.google.com/spreadsheets/d/1IYY_tgx_IHuhSq3AJ5eI5OnqOPBNLWSHKh2a30DoXe8/edit?usp=sharing"",""ตรัง!J570"")"),0)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3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IFERROR(__xludf.DUMMYFUNCTION("IMPORTRANGE(""https://docs.google.com/spreadsheets/d/1IYY_tgx_IHuhSq3AJ5eI5OnqOPBNLWSHKh2a30DoXe8/edit?usp=sharing"",""ตรัง!J571"")"),0)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3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IFERROR(__xludf.DUMMYFUNCTION("IMPORTRANGE(""https://docs.google.com/spreadsheets/d/1IYY_tgx_IHuhSq3AJ5eI5OnqOPBNLWSHKh2a30DoXe8/edit?usp=sharing"",""ตรัง!J572"")"),0)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2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2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2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2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2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2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2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2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2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2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2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2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2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2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2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2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2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2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2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2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2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2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2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2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2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2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2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2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2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2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2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2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2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2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2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2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2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2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2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2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2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2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2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2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2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2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2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2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2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2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2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2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2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2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2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2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2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2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2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2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2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2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2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2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2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2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2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2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2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2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2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2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2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2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2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2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2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2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2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2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2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2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2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2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2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2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2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2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2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2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2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2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2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2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2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2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2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2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2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2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2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2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2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2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2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2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2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2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2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2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2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2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2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2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2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2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2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2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2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2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2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2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2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2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2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2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2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2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2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2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2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2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2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2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2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2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2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2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2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2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2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2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2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2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2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2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2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2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2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2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2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2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2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2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2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2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2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2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2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2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2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2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2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2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2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2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2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2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2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2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2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2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2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2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2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2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2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2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2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2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2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2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2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2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2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2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2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2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2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2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2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2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2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2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2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2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2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2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2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2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2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2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2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2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2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2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2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2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2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2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2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2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2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2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2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2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2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2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2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2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2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2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2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2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2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2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2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2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2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2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2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2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2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2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2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2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2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2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2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2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2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2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2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2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2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2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2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2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2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2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2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2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2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2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2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2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2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2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2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2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2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2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2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2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2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2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2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2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2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2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2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2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2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2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2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2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2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2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2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2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2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2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2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2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2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2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2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2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2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2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2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2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2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2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2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2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2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2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2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2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2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2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2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2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2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2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2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2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2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2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2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2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2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2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2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2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2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2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2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2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2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2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2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2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2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2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2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2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2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2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2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2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2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2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2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2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2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2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2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2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2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2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2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2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2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2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2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2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2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2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2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2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2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2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2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2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2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2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2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2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2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2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2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2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2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2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2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2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2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2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2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2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2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2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2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2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2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2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2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2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2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2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2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2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2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2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2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2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2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2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2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2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2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2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2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2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2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2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2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2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2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2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2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2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2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2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2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2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2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2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2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2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2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2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2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2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2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2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2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2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2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2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2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2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2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2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2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2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2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2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2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2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2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2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2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2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2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2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2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2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2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2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2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2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2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2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2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2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2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2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2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2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2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2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2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2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2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2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2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2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2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2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2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2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2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2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19685039370078741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32" max="16383" man="1"/>
    <brk id="626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86" t="s">
        <v>0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  <c r="N1" s="586"/>
      <c r="O1" s="586"/>
      <c r="P1" s="586"/>
    </row>
    <row r="2" spans="1:16" ht="18" customHeight="1" x14ac:dyDescent="0.25">
      <c r="A2" s="586" t="s">
        <v>266</v>
      </c>
      <c r="B2" s="586"/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86"/>
      <c r="P2" s="586"/>
    </row>
    <row r="3" spans="1:16" ht="18" customHeight="1" x14ac:dyDescent="0.25">
      <c r="A3" s="586" t="s">
        <v>290</v>
      </c>
      <c r="B3" s="586"/>
      <c r="C3" s="586"/>
      <c r="D3" s="586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  <c r="P3" s="586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2" t="s">
        <v>2</v>
      </c>
      <c r="B5" s="593"/>
      <c r="C5" s="593"/>
      <c r="D5" s="593"/>
      <c r="E5" s="593"/>
      <c r="F5" s="593"/>
      <c r="G5" s="594"/>
      <c r="H5" s="587" t="s">
        <v>3</v>
      </c>
      <c r="I5" s="589" t="s">
        <v>4</v>
      </c>
      <c r="J5" s="580"/>
      <c r="K5" s="581"/>
      <c r="L5" s="590" t="s">
        <v>5</v>
      </c>
      <c r="M5" s="581"/>
      <c r="N5" s="591" t="s">
        <v>6</v>
      </c>
      <c r="O5" s="580"/>
      <c r="P5" s="581"/>
    </row>
    <row r="6" spans="1:16" ht="21.75" customHeight="1" x14ac:dyDescent="0.25">
      <c r="A6" s="595"/>
      <c r="B6" s="596"/>
      <c r="C6" s="596"/>
      <c r="D6" s="596"/>
      <c r="E6" s="596"/>
      <c r="F6" s="596"/>
      <c r="G6" s="597"/>
      <c r="H6" s="58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5" t="s">
        <v>15</v>
      </c>
      <c r="B7" s="580"/>
      <c r="C7" s="580"/>
      <c r="D7" s="580"/>
      <c r="E7" s="580"/>
      <c r="F7" s="580"/>
      <c r="G7" s="58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4" t="s">
        <v>17</v>
      </c>
      <c r="E8" s="573"/>
      <c r="F8" s="573"/>
      <c r="G8" s="573"/>
      <c r="H8" s="20" t="s">
        <v>12</v>
      </c>
      <c r="I8" s="21"/>
      <c r="J8" s="21"/>
      <c r="K8" s="22"/>
      <c r="L8" s="23">
        <f t="shared" ref="L8:N8" ca="1" si="0">L9+L10</f>
        <v>4816439.76</v>
      </c>
      <c r="M8" s="23">
        <f t="shared" ca="1" si="0"/>
        <v>3638658.76</v>
      </c>
      <c r="N8" s="23">
        <f t="shared" ca="1" si="0"/>
        <v>4123655.84</v>
      </c>
      <c r="O8" s="22">
        <f t="shared" ref="O8:O16" ca="1" si="1">IF(L8&gt;0,N8*100/L8,0)</f>
        <v>85.616265239036238</v>
      </c>
      <c r="P8" s="22">
        <f t="shared" ref="P8:P16" ca="1" si="2">IF(M8&gt;0,N8*100/M8,0)</f>
        <v>113.32900697728523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4816439.76</v>
      </c>
      <c r="M10" s="30">
        <f t="shared" ca="1" si="4"/>
        <v>3638658.76</v>
      </c>
      <c r="N10" s="30">
        <f t="shared" ca="1" si="4"/>
        <v>4123655.84</v>
      </c>
      <c r="O10" s="29">
        <f t="shared" ca="1" si="1"/>
        <v>85.616265239036238</v>
      </c>
      <c r="P10" s="29">
        <f t="shared" ca="1" si="2"/>
        <v>113.32900697728523</v>
      </c>
    </row>
    <row r="11" spans="1:16" ht="21.75" customHeight="1" x14ac:dyDescent="0.3">
      <c r="A11" s="31"/>
      <c r="B11" s="32"/>
      <c r="C11" s="33" t="s">
        <v>16</v>
      </c>
      <c r="D11" s="574" t="s">
        <v>20</v>
      </c>
      <c r="E11" s="575"/>
      <c r="F11" s="57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4618139.76</v>
      </c>
      <c r="M12" s="38">
        <f t="shared" ca="1" si="6"/>
        <v>3440358.76</v>
      </c>
      <c r="N12" s="38">
        <f t="shared" ca="1" si="6"/>
        <v>3925355.84</v>
      </c>
      <c r="O12" s="38">
        <f t="shared" ca="1" si="1"/>
        <v>84.998636767112487</v>
      </c>
      <c r="P12" s="38">
        <f t="shared" ca="1" si="2"/>
        <v>114.09728211019481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1979563.76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2638576</v>
      </c>
      <c r="M14" s="38">
        <f t="shared" si="8"/>
        <v>0</v>
      </c>
      <c r="N14" s="38">
        <f t="shared" ca="1" si="8"/>
        <v>882355.86</v>
      </c>
      <c r="O14" s="41">
        <f t="shared" ca="1" si="1"/>
        <v>33.440608115892815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4" t="s">
        <v>23</v>
      </c>
      <c r="E15" s="57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198300</v>
      </c>
      <c r="M16" s="38">
        <f t="shared" ca="1" si="10"/>
        <v>198300</v>
      </c>
      <c r="N16" s="38">
        <f t="shared" ca="1" si="10"/>
        <v>198300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85" t="s">
        <v>24</v>
      </c>
      <c r="B17" s="580"/>
      <c r="C17" s="580"/>
      <c r="D17" s="580"/>
      <c r="E17" s="580"/>
      <c r="F17" s="580"/>
      <c r="G17" s="58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4" t="s">
        <v>17</v>
      </c>
      <c r="E18" s="573"/>
      <c r="F18" s="573"/>
      <c r="G18" s="573"/>
      <c r="H18" s="20" t="s">
        <v>12</v>
      </c>
      <c r="I18" s="21"/>
      <c r="J18" s="21"/>
      <c r="K18" s="22"/>
      <c r="L18" s="23">
        <f t="shared" ref="L18:N18" ca="1" si="11">L19+L20</f>
        <v>3631758.76</v>
      </c>
      <c r="M18" s="23">
        <f t="shared" ca="1" si="11"/>
        <v>3638658.76</v>
      </c>
      <c r="N18" s="23">
        <f t="shared" ca="1" si="11"/>
        <v>3241299.98</v>
      </c>
      <c r="O18" s="22">
        <f t="shared" ref="O18:O20" ca="1" si="12">IF(L18&gt;0,N18*100/L18,0)</f>
        <v>89.248768825162827</v>
      </c>
      <c r="P18" s="22">
        <f t="shared" ref="P18:P26" ca="1" si="13">IF(M18&gt;0,N18*100/M18,0)</f>
        <v>89.079526105382854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3631758.76</v>
      </c>
      <c r="M20" s="30">
        <f t="shared" ca="1" si="15"/>
        <v>3638658.76</v>
      </c>
      <c r="N20" s="30">
        <f t="shared" ca="1" si="15"/>
        <v>3241299.98</v>
      </c>
      <c r="O20" s="29">
        <f t="shared" ca="1" si="12"/>
        <v>89.248768825162827</v>
      </c>
      <c r="P20" s="29">
        <f t="shared" ca="1" si="13"/>
        <v>89.079526105382854</v>
      </c>
    </row>
    <row r="21" spans="1:16" ht="21.75" customHeight="1" x14ac:dyDescent="0.3">
      <c r="A21" s="31"/>
      <c r="B21" s="32"/>
      <c r="C21" s="33" t="s">
        <v>16</v>
      </c>
      <c r="D21" s="574" t="s">
        <v>20</v>
      </c>
      <c r="E21" s="575"/>
      <c r="F21" s="575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3433458.76</v>
      </c>
      <c r="M22" s="42">
        <f t="shared" ca="1" si="18"/>
        <v>3440358.76</v>
      </c>
      <c r="N22" s="41">
        <f t="shared" ca="1" si="18"/>
        <v>3042999.98</v>
      </c>
      <c r="O22" s="41">
        <f t="shared" ca="1" si="17"/>
        <v>88.627829623327131</v>
      </c>
      <c r="P22" s="41">
        <f t="shared" ca="1" si="13"/>
        <v>88.450077223923017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1979563.76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1453895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4" t="s">
        <v>23</v>
      </c>
      <c r="E25" s="575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198300</v>
      </c>
      <c r="M26" s="50">
        <f t="shared" ca="1" si="22"/>
        <v>198300</v>
      </c>
      <c r="N26" s="50">
        <f t="shared" ca="1" si="22"/>
        <v>198300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85" t="s">
        <v>25</v>
      </c>
      <c r="B27" s="580"/>
      <c r="C27" s="580"/>
      <c r="D27" s="580"/>
      <c r="E27" s="580"/>
      <c r="F27" s="580"/>
      <c r="G27" s="58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4" t="s">
        <v>17</v>
      </c>
      <c r="E28" s="573"/>
      <c r="F28" s="573"/>
      <c r="G28" s="573"/>
      <c r="H28" s="20" t="s">
        <v>12</v>
      </c>
      <c r="I28" s="21"/>
      <c r="J28" s="21"/>
      <c r="K28" s="22"/>
      <c r="L28" s="23">
        <f t="shared" ref="L28:N28" ca="1" si="23">L29+L30</f>
        <v>1184681</v>
      </c>
      <c r="M28" s="23">
        <f t="shared" si="23"/>
        <v>0</v>
      </c>
      <c r="N28" s="23">
        <f t="shared" ca="1" si="23"/>
        <v>882355.86</v>
      </c>
      <c r="O28" s="22">
        <f t="shared" ref="O28:O30" ca="1" si="24">IF(L28&gt;0,N28*100/L28,0)</f>
        <v>74.480460140746743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1184681</v>
      </c>
      <c r="M30" s="30">
        <f t="shared" si="27"/>
        <v>0</v>
      </c>
      <c r="N30" s="30">
        <f t="shared" ca="1" si="27"/>
        <v>882355.86</v>
      </c>
      <c r="O30" s="29">
        <f t="shared" ca="1" si="24"/>
        <v>74.480460140746743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4" t="s">
        <v>20</v>
      </c>
      <c r="E31" s="575"/>
      <c r="F31" s="575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1184681</v>
      </c>
      <c r="M32" s="41">
        <f t="shared" si="30"/>
        <v>0</v>
      </c>
      <c r="N32" s="41">
        <f t="shared" ca="1" si="30"/>
        <v>882355.86</v>
      </c>
      <c r="O32" s="41">
        <f t="shared" ca="1" si="29"/>
        <v>74.480460140746743</v>
      </c>
      <c r="P32" s="41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1184681</v>
      </c>
      <c r="M34" s="41">
        <f t="shared" si="32"/>
        <v>0</v>
      </c>
      <c r="N34" s="41">
        <f t="shared" ca="1" si="32"/>
        <v>882355.86</v>
      </c>
      <c r="O34" s="41">
        <f t="shared" ca="1" si="29"/>
        <v>74.480460140746743</v>
      </c>
      <c r="P34" s="41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4" t="s">
        <v>23</v>
      </c>
      <c r="E35" s="575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3631758.76</v>
      </c>
      <c r="M37" s="55">
        <f t="shared" ca="1" si="33"/>
        <v>3638658.76</v>
      </c>
      <c r="N37" s="55">
        <f t="shared" ca="1" si="33"/>
        <v>3241299.98</v>
      </c>
      <c r="O37" s="56">
        <f t="shared" ca="1" si="29"/>
        <v>89.248768825162827</v>
      </c>
      <c r="P37" s="56">
        <f t="shared" ca="1" si="25"/>
        <v>89.079526105382854</v>
      </c>
    </row>
    <row r="38" spans="1:16" ht="21.75" customHeight="1" x14ac:dyDescent="0.3">
      <c r="A38" s="579" t="s">
        <v>27</v>
      </c>
      <c r="B38" s="580"/>
      <c r="C38" s="580"/>
      <c r="D38" s="580"/>
      <c r="E38" s="580"/>
      <c r="F38" s="580"/>
      <c r="G38" s="581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82" t="s">
        <v>28</v>
      </c>
      <c r="C39" s="573"/>
      <c r="D39" s="573"/>
      <c r="E39" s="573"/>
      <c r="F39" s="573"/>
      <c r="G39" s="573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83" t="s">
        <v>17</v>
      </c>
      <c r="E41" s="575"/>
      <c r="F41" s="575"/>
      <c r="G41" s="575"/>
      <c r="H41" s="76" t="s">
        <v>12</v>
      </c>
      <c r="I41" s="77"/>
      <c r="J41" s="77"/>
      <c r="K41" s="78"/>
      <c r="L41" s="79">
        <f t="shared" ref="L41:N41" ca="1" si="34">L42+L43</f>
        <v>772300</v>
      </c>
      <c r="M41" s="79">
        <f t="shared" ca="1" si="34"/>
        <v>772300</v>
      </c>
      <c r="N41" s="79">
        <f t="shared" ca="1" si="34"/>
        <v>712194.84</v>
      </c>
      <c r="O41" s="78">
        <f t="shared" ref="O41:O43" ca="1" si="35">IF(L41&gt;0,N41*100/L41,0)</f>
        <v>92.21738184643273</v>
      </c>
      <c r="P41" s="78">
        <f t="shared" ref="P41:P43" ca="1" si="36">IF(M41&gt;0,N41*100/M41,0)</f>
        <v>92.21738184643273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772300</v>
      </c>
      <c r="M43" s="79">
        <f t="shared" ca="1" si="38"/>
        <v>772300</v>
      </c>
      <c r="N43" s="79">
        <f t="shared" ca="1" si="38"/>
        <v>712194.84</v>
      </c>
      <c r="O43" s="78">
        <f t="shared" ca="1" si="35"/>
        <v>92.21738184643273</v>
      </c>
      <c r="P43" s="78">
        <f t="shared" ca="1" si="36"/>
        <v>92.21738184643273</v>
      </c>
    </row>
    <row r="44" spans="1:16" ht="21.75" customHeight="1" x14ac:dyDescent="0.3">
      <c r="A44" s="80"/>
      <c r="B44" s="81"/>
      <c r="C44" s="82" t="s">
        <v>16</v>
      </c>
      <c r="D44" s="576" t="s">
        <v>20</v>
      </c>
      <c r="E44" s="575"/>
      <c r="F44" s="575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772300</v>
      </c>
      <c r="M45" s="91">
        <f ca="1">IFERROR(__xludf.DUMMYFUNCTION("IMPORTRANGE(""https://docs.google.com/spreadsheets/d/1Yj_ptqi66GCucihVvJfMjLAmec39IyEx_6qawtMGysU/edit?usp=sharing"",""สบก!Q84"")"),772300)</f>
        <v>772300</v>
      </c>
      <c r="N45" s="91">
        <f ca="1">IFERROR(__xludf.DUMMYFUNCTION("IMPORTRANGE(""https://docs.google.com/spreadsheets/d/1Yj_ptqi66GCucihVvJfMjLAmec39IyEx_6qawtMGysU/edit?usp=sharing"",""สบก!R84"")"),712194.84)</f>
        <v>712194.84</v>
      </c>
      <c r="O45" s="92">
        <f ca="1">IF(L45&gt;0,N45*100/L45,0)</f>
        <v>92.21738184643273</v>
      </c>
      <c r="P45" s="92">
        <f ca="1">IF(M45&gt;0,N45*100/M45,0)</f>
        <v>92.21738184643273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IFERROR(__xludf.DUMMYFUNCTION("IMPORTRANGE(""https://docs.google.com/spreadsheets/d/1Yj_ptqi66GCucihVvJfMjLAmec39IyEx_6qawtMGysU/edit?usp=sharing"",""สบก!M84"")"),772300)</f>
        <v>772300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IFERROR(__xludf.DUMMYFUNCTION("IMPORTRANGE(""https://docs.google.com/spreadsheets/d/1Yj_ptqi66GCucihVvJfMjLAmec39IyEx_6qawtMGysU/edit?usp=sharing"",""สบก!N84"")"),0)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6" t="s">
        <v>23</v>
      </c>
      <c r="E48" s="57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IFERROR(__xludf.DUMMYFUNCTION("IMPORTRANGE(""https://docs.google.com/spreadsheets/d/1Yj_ptqi66GCucihVvJfMjLAmec39IyEx_6qawtMGysU/edit?usp=sharing"",""สบก!O84"")"),0)</f>
        <v>0</v>
      </c>
      <c r="M49" s="101"/>
      <c r="N49" s="91">
        <f ca="1">IFERROR(__xludf.DUMMYFUNCTION("IMPORTRANGE(""https://docs.google.com/spreadsheets/d/1Yj_ptqi66GCucihVvJfMjLAmec39IyEx_6qawtMGysU/edit?usp=sharing"",""สบก!S84"")"),0)</f>
        <v>0</v>
      </c>
      <c r="O49" s="101">
        <f ca="1">IF(L49&gt;0,N49*100/L49,0)</f>
        <v>0</v>
      </c>
      <c r="P49" s="101"/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577" t="s">
        <v>32</v>
      </c>
      <c r="C52" s="575"/>
      <c r="D52" s="575"/>
      <c r="E52" s="575"/>
      <c r="F52" s="575"/>
      <c r="G52" s="575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578" t="s">
        <v>17</v>
      </c>
      <c r="E53" s="575"/>
      <c r="F53" s="575"/>
      <c r="G53" s="575"/>
      <c r="H53" s="122" t="s">
        <v>12</v>
      </c>
      <c r="I53" s="123"/>
      <c r="J53" s="123"/>
      <c r="K53" s="124"/>
      <c r="L53" s="125">
        <f t="shared" ref="L53:N53" ca="1" si="39">L54+L55</f>
        <v>682763.76</v>
      </c>
      <c r="M53" s="125">
        <f t="shared" ca="1" si="39"/>
        <v>682763.76</v>
      </c>
      <c r="N53" s="125">
        <f t="shared" ca="1" si="39"/>
        <v>624013.76</v>
      </c>
      <c r="O53" s="124">
        <f t="shared" ref="O53:O55" ca="1" si="40">IF(L53&gt;0,N53*100/L53,0)</f>
        <v>91.395266790375629</v>
      </c>
      <c r="P53" s="124">
        <f t="shared" ref="P53:P55" ca="1" si="41">IF(M53&gt;0,N53*100/M53,0)</f>
        <v>91.395266790375629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682763.76</v>
      </c>
      <c r="M55" s="125">
        <f t="shared" ca="1" si="43"/>
        <v>682763.76</v>
      </c>
      <c r="N55" s="125">
        <f t="shared" ca="1" si="43"/>
        <v>624013.76</v>
      </c>
      <c r="O55" s="124">
        <f t="shared" ca="1" si="40"/>
        <v>91.395266790375629</v>
      </c>
      <c r="P55" s="124">
        <f t="shared" ca="1" si="41"/>
        <v>91.395266790375629</v>
      </c>
    </row>
    <row r="56" spans="1:16" ht="21.75" customHeight="1" x14ac:dyDescent="0.3">
      <c r="A56" s="80"/>
      <c r="B56" s="81"/>
      <c r="C56" s="82" t="s">
        <v>16</v>
      </c>
      <c r="D56" s="576" t="s">
        <v>20</v>
      </c>
      <c r="E56" s="575"/>
      <c r="F56" s="575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682763.76</v>
      </c>
      <c r="M57" s="91">
        <f ca="1">IFERROR(__xludf.DUMMYFUNCTION("IMPORTRANGE(""https://docs.google.com/spreadsheets/d/1Yj_ptqi66GCucihVvJfMjLAmec39IyEx_6qawtMGysU/edit?usp=sharing"",""สบก!Z84"")"),682763.76)</f>
        <v>682763.76</v>
      </c>
      <c r="N57" s="91">
        <f ca="1">IFERROR(__xludf.DUMMYFUNCTION("IMPORTRANGE(""https://docs.google.com/spreadsheets/d/1Yj_ptqi66GCucihVvJfMjLAmec39IyEx_6qawtMGysU/edit?usp=sharing"",""สบก!AA84"")"),624013.76)</f>
        <v>624013.76</v>
      </c>
      <c r="O57" s="92">
        <f ca="1">IF(L57&gt;0,N57*100/L57,0)</f>
        <v>91.395266790375629</v>
      </c>
      <c r="P57" s="92">
        <f ca="1">IF(M57&gt;0,N57*100/M57,0)</f>
        <v>91.395266790375629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IFERROR(__xludf.DUMMYFUNCTION("IMPORTRANGE(""https://docs.google.com/spreadsheets/d/1Yj_ptqi66GCucihVvJfMjLAmec39IyEx_6qawtMGysU/edit?usp=sharing"",""สบก!V84"")"),682763.76)</f>
        <v>682763.76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IFERROR(__xludf.DUMMYFUNCTION("IMPORTRANGE(""https://docs.google.com/spreadsheets/d/1Yj_ptqi66GCucihVvJfMjLAmec39IyEx_6qawtMGysU/edit?usp=sharing"",""สบก!W84"")"),0)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6" t="s">
        <v>23</v>
      </c>
      <c r="E60" s="57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IFERROR(__xludf.DUMMYFUNCTION("IMPORTRANGE(""https://docs.google.com/spreadsheets/d/1Yj_ptqi66GCucihVvJfMjLAmec39IyEx_6qawtMGysU/edit?usp=sharing"",""สบก!X84"")"),0)</f>
        <v>0</v>
      </c>
      <c r="M61" s="101"/>
      <c r="N61" s="91">
        <f ca="1">IFERROR(__xludf.DUMMYFUNCTION("IMPORTRANGE(""https://docs.google.com/spreadsheets/d/1Yj_ptqi66GCucihVvJfMjLAmec39IyEx_6qawtMGysU/edit?usp=sharing"",""สบก!AB84"")"),0)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IFERROR(__xludf.DUMMYFUNCTION("IMPORTRANGE(""https://docs.google.com/spreadsheets/d/1IYY_tgx_IHuhSq3AJ5eI5OnqOPBNLWSHKh2a30DoXe8/edit?usp=sharing"",""นครศรีธรรมราช!I9"")"),0)</f>
        <v>0</v>
      </c>
      <c r="J64" s="146">
        <f ca="1">IFERROR(__xludf.DUMMYFUNCTION("IMPORTRANGE(""https://docs.google.com/spreadsheets/d/1IYY_tgx_IHuhSq3AJ5eI5OnqOPBNLWSHKh2a30DoXe8/edit?usp=sharing"",""นครศรีธรรมราช!J9"")"),0)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IFERROR(__xludf.DUMMYFUNCTION("IMPORTRANGE(""https://docs.google.com/spreadsheets/d/1IYY_tgx_IHuhSq3AJ5eI5OnqOPBNLWSHKh2a30DoXe8/edit?usp=sharing"",""นครศรีธรรมราช!I10"")"),0)</f>
        <v>0</v>
      </c>
      <c r="J65" s="146">
        <f ca="1">IFERROR(__xludf.DUMMYFUNCTION("IMPORTRANGE(""https://docs.google.com/spreadsheets/d/1IYY_tgx_IHuhSq3AJ5eI5OnqOPBNLWSHKh2a30DoXe8/edit?usp=sharing"",""นครศรีธรรมราช!J10"")"),0)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2" t="s">
        <v>17</v>
      </c>
      <c r="E66" s="573"/>
      <c r="F66" s="573"/>
      <c r="G66" s="573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3">
      <c r="A69" s="162"/>
      <c r="B69" s="163"/>
      <c r="C69" s="163" t="s">
        <v>16</v>
      </c>
      <c r="D69" s="574" t="s">
        <v>20</v>
      </c>
      <c r="E69" s="575"/>
      <c r="F69" s="575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IFERROR(__xludf.DUMMYFUNCTION("IMPORTRANGE(""https://docs.google.com/spreadsheets/d/1Yj_ptqi66GCucihVvJfMjLAmec39IyEx_6qawtMGysU/edit?usp=sharing"",""สบก!AI84"")"),0)</f>
        <v>0</v>
      </c>
      <c r="N70" s="174">
        <f ca="1">IFERROR(__xludf.DUMMYFUNCTION("IMPORTRANGE(""https://docs.google.com/spreadsheets/d/1Yj_ptqi66GCucihVvJfMjLAmec39IyEx_6qawtMGysU/edit?usp=sharing"",""สบก!AJ84"")"),0)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IFERROR(__xludf.DUMMYFUNCTION("IMPORTRANGE(""https://docs.google.com/spreadsheets/d/1Yj_ptqi66GCucihVvJfMjLAmec39IyEx_6qawtMGysU/edit?usp=sharing"",""สบก!AE84"")"),0)</f>
        <v>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IFERROR(__xludf.DUMMYFUNCTION("IMPORTRANGE(""https://docs.google.com/spreadsheets/d/1Yj_ptqi66GCucihVvJfMjLAmec39IyEx_6qawtMGysU/edit?usp=sharing"",""สบก!AF84"")"),0)</f>
        <v>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6" t="s">
        <v>23</v>
      </c>
      <c r="E73" s="575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IFERROR(__xludf.DUMMYFUNCTION("IMPORTRANGE(""https://docs.google.com/spreadsheets/d/1Yj_ptqi66GCucihVvJfMjLAmec39IyEx_6qawtMGysU/edit?usp=sharing"",""สบก!AG84"")"),0)</f>
        <v>0</v>
      </c>
      <c r="M74" s="101"/>
      <c r="N74" s="91">
        <f ca="1">IFERROR(__xludf.DUMMYFUNCTION("IMPORTRANGE(""https://docs.google.com/spreadsheets/d/1Yj_ptqi66GCucihVvJfMjLAmec39IyEx_6qawtMGysU/edit?usp=sharing"",""สบก!AK84"")"),0)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IFERROR(__xludf.DUMMYFUNCTION("IMPORTRANGE(""https://docs.google.com/spreadsheets/d/1IYY_tgx_IHuhSq3AJ5eI5OnqOPBNLWSHKh2a30DoXe8/edit?usp=sharing"",""นครศรีธรรมราช!J16"")"),0)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IFERROR(__xludf.DUMMYFUNCTION("IMPORTRANGE(""https://docs.google.com/spreadsheets/d/1IYY_tgx_IHuhSq3AJ5eI5OnqOPBNLWSHKh2a30DoXe8/edit?usp=sharing"",""นครศรีธรรมราช!J17"")"),0)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IFERROR(__xludf.DUMMYFUNCTION("IMPORTRANGE(""https://docs.google.com/spreadsheets/d/1IYY_tgx_IHuhSq3AJ5eI5OnqOPBNLWSHKh2a30DoXe8/edit?usp=sharing"",""นครศรีธรรมราช!J18"")"),0)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IFERROR(__xludf.DUMMYFUNCTION("IMPORTRANGE(""https://docs.google.com/spreadsheets/d/1IYY_tgx_IHuhSq3AJ5eI5OnqOPBNLWSHKh2a30DoXe8/edit?usp=sharing"",""นครศรีธรรมราช!J19"")"),0)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IFERROR(__xludf.DUMMYFUNCTION("IMPORTRANGE(""https://docs.google.com/spreadsheets/d/1IYY_tgx_IHuhSq3AJ5eI5OnqOPBNLWSHKh2a30DoXe8/edit?usp=sharing"",""นครศรีธรรมราช!I20"")"),0)</f>
        <v>0</v>
      </c>
      <c r="J80" s="207">
        <f ca="1">IFERROR(__xludf.DUMMYFUNCTION("IMPORTRANGE(""https://docs.google.com/spreadsheets/d/1IYY_tgx_IHuhSq3AJ5eI5OnqOPBNLWSHKh2a30DoXe8/edit?usp=sharing"",""นครศรีธรรมราช!J20"")"),0)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IFERROR(__xludf.DUMMYFUNCTION("IMPORTRANGE(""https://docs.google.com/spreadsheets/d/1IYY_tgx_IHuhSq3AJ5eI5OnqOPBNLWSHKh2a30DoXe8/edit?usp=sharing"",""นครศรีธรรมราช!I21"")"),0)</f>
        <v>0</v>
      </c>
      <c r="J81" s="207">
        <f ca="1">IFERROR(__xludf.DUMMYFUNCTION("IMPORTRANGE(""https://docs.google.com/spreadsheets/d/1IYY_tgx_IHuhSq3AJ5eI5OnqOPBNLWSHKh2a30DoXe8/edit?usp=sharing"",""นครศรีธรรมราช!J21"")"),0)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IFERROR(__xludf.DUMMYFUNCTION("IMPORTRANGE(""https://docs.google.com/spreadsheets/d/1IYY_tgx_IHuhSq3AJ5eI5OnqOPBNLWSHKh2a30DoXe8/edit?usp=sharing"",""นครศรีธรรมราช!I22"")"),0)</f>
        <v>0</v>
      </c>
      <c r="J82" s="210">
        <f ca="1">IFERROR(__xludf.DUMMYFUNCTION("IMPORTRANGE(""https://docs.google.com/spreadsheets/d/1IYY_tgx_IHuhSq3AJ5eI5OnqOPBNLWSHKh2a30DoXe8/edit?usp=sharing"",""นครศรีธรรมราช!J22"")"),0)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IFERROR(__xludf.DUMMYFUNCTION("IMPORTRANGE(""https://docs.google.com/spreadsheets/d/1IYY_tgx_IHuhSq3AJ5eI5OnqOPBNLWSHKh2a30DoXe8/edit?usp=sharing"",""นครศรีธรรมราช!I23"")"),0)</f>
        <v>0</v>
      </c>
      <c r="J83" s="210">
        <f ca="1">IFERROR(__xludf.DUMMYFUNCTION("IMPORTRANGE(""https://docs.google.com/spreadsheets/d/1IYY_tgx_IHuhSq3AJ5eI5OnqOPBNLWSHKh2a30DoXe8/edit?usp=sharing"",""นครศรีธรรมราช!J23"")"),0)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IFERROR(__xludf.DUMMYFUNCTION("IMPORTRANGE(""https://docs.google.com/spreadsheets/d/1IYY_tgx_IHuhSq3AJ5eI5OnqOPBNLWSHKh2a30DoXe8/edit?usp=sharing"",""นครศรีธรรมราช!I24"")"),0)</f>
        <v>0</v>
      </c>
      <c r="J84" s="195">
        <f ca="1">IFERROR(__xludf.DUMMYFUNCTION("IMPORTRANGE(""https://docs.google.com/spreadsheets/d/1IYY_tgx_IHuhSq3AJ5eI5OnqOPBNLWSHKh2a30DoXe8/edit?usp=sharing"",""นครศรีธรรมราช!J24"")"),0)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IFERROR(__xludf.DUMMYFUNCTION("IMPORTRANGE(""https://docs.google.com/spreadsheets/d/1IYY_tgx_IHuhSq3AJ5eI5OnqOPBNLWSHKh2a30DoXe8/edit?usp=sharing"",""นครศรีธรรมราช!I25"")"),0)</f>
        <v>0</v>
      </c>
      <c r="J85" s="195">
        <f ca="1">IFERROR(__xludf.DUMMYFUNCTION("IMPORTRANGE(""https://docs.google.com/spreadsheets/d/1IYY_tgx_IHuhSq3AJ5eI5OnqOPBNLWSHKh2a30DoXe8/edit?usp=sharing"",""นครศรีธรรมราช!J25"")"),0)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IFERROR(__xludf.DUMMYFUNCTION("IMPORTRANGE(""https://docs.google.com/spreadsheets/d/1IYY_tgx_IHuhSq3AJ5eI5OnqOPBNLWSHKh2a30DoXe8/edit?usp=sharing"",""นครศรีธรรมราช!I26"")"),0)</f>
        <v>0</v>
      </c>
      <c r="J86" s="210">
        <f ca="1">IFERROR(__xludf.DUMMYFUNCTION("IMPORTRANGE(""https://docs.google.com/spreadsheets/d/1IYY_tgx_IHuhSq3AJ5eI5OnqOPBNLWSHKh2a30DoXe8/edit?usp=sharing"",""นครศรีธรรมราช!J26"")"),0)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IFERROR(__xludf.DUMMYFUNCTION("IMPORTRANGE(""https://docs.google.com/spreadsheets/d/1IYY_tgx_IHuhSq3AJ5eI5OnqOPBNLWSHKh2a30DoXe8/edit?usp=sharing"",""นครศรีธรรมราช!I27"")"),0)</f>
        <v>0</v>
      </c>
      <c r="J87" s="210">
        <f ca="1">IFERROR(__xludf.DUMMYFUNCTION("IMPORTRANGE(""https://docs.google.com/spreadsheets/d/1IYY_tgx_IHuhSq3AJ5eI5OnqOPBNLWSHKh2a30DoXe8/edit?usp=sharing"",""นครศรีธรรมราช!J27"")"),0)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IFERROR(__xludf.DUMMYFUNCTION("IMPORTRANGE(""https://docs.google.com/spreadsheets/d/1IYY_tgx_IHuhSq3AJ5eI5OnqOPBNLWSHKh2a30DoXe8/edit?usp=sharing"",""นครศรีธรรมราช!I28"")"),0)</f>
        <v>0</v>
      </c>
      <c r="J88" s="210">
        <f ca="1">IFERROR(__xludf.DUMMYFUNCTION("IMPORTRANGE(""https://docs.google.com/spreadsheets/d/1IYY_tgx_IHuhSq3AJ5eI5OnqOPBNLWSHKh2a30DoXe8/edit?usp=sharing"",""นครศรีธรรมราช!J28"")"),0)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IFERROR(__xludf.DUMMYFUNCTION("IMPORTRANGE(""https://docs.google.com/spreadsheets/d/1IYY_tgx_IHuhSq3AJ5eI5OnqOPBNLWSHKh2a30DoXe8/edit?usp=sharing"",""นครศรีธรรมราช!J29"")"),0)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IFERROR(__xludf.DUMMYFUNCTION("IMPORTRANGE(""https://docs.google.com/spreadsheets/d/1IYY_tgx_IHuhSq3AJ5eI5OnqOPBNLWSHKh2a30DoXe8/edit?usp=sharing"",""นครศรีธรรมราช!J30"")"),0)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IFERROR(__xludf.DUMMYFUNCTION("IMPORTRANGE(""https://docs.google.com/spreadsheets/d/1IYY_tgx_IHuhSq3AJ5eI5OnqOPBNLWSHKh2a30DoXe8/edit?usp=sharing"",""นครศรีธรรมราช!I32"")"),7)</f>
        <v>7</v>
      </c>
      <c r="J92" s="146">
        <f ca="1">IFERROR(__xludf.DUMMYFUNCTION("IMPORTRANGE(""https://docs.google.com/spreadsheets/d/1IYY_tgx_IHuhSq3AJ5eI5OnqOPBNLWSHKh2a30DoXe8/edit?usp=sharing"",""นครศรีธรรมราช!J32"")"),7)</f>
        <v>7</v>
      </c>
      <c r="K92" s="147">
        <f t="shared" ref="K92:K93" ca="1" si="51">IF(I92&gt;0,J92*100/I92,0)</f>
        <v>100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IFERROR(__xludf.DUMMYFUNCTION("IMPORTRANGE(""https://docs.google.com/spreadsheets/d/1IYY_tgx_IHuhSq3AJ5eI5OnqOPBNLWSHKh2a30DoXe8/edit?usp=sharing"",""นครศรีธรรมราช!I33"")"),2)</f>
        <v>2</v>
      </c>
      <c r="J93" s="146">
        <f ca="1">IFERROR(__xludf.DUMMYFUNCTION("IMPORTRANGE(""https://docs.google.com/spreadsheets/d/1IYY_tgx_IHuhSq3AJ5eI5OnqOPBNLWSHKh2a30DoXe8/edit?usp=sharing"",""นครศรีธรรมราช!J33"")"),2)</f>
        <v>2</v>
      </c>
      <c r="K93" s="147">
        <f t="shared" ca="1" si="51"/>
        <v>100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2" t="s">
        <v>17</v>
      </c>
      <c r="E94" s="573"/>
      <c r="F94" s="573"/>
      <c r="G94" s="573"/>
      <c r="H94" s="153" t="s">
        <v>12</v>
      </c>
      <c r="I94" s="166"/>
      <c r="J94" s="166"/>
      <c r="K94" s="167"/>
      <c r="L94" s="156">
        <f t="shared" ref="L94:N94" ca="1" si="52">L95+L96</f>
        <v>319800</v>
      </c>
      <c r="M94" s="156">
        <f t="shared" ca="1" si="52"/>
        <v>326700</v>
      </c>
      <c r="N94" s="156">
        <f t="shared" ca="1" si="52"/>
        <v>308251</v>
      </c>
      <c r="O94" s="155">
        <f t="shared" ref="O94:O96" ca="1" si="53">IF(L94&gt;0,N94*100/L94,0)</f>
        <v>96.38868042526579</v>
      </c>
      <c r="P94" s="155">
        <f t="shared" ref="P94:P96" ca="1" si="54">IF(M94&gt;0,N94*100/M94,0)</f>
        <v>94.35292317110499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319800</v>
      </c>
      <c r="M96" s="161">
        <f t="shared" ca="1" si="56"/>
        <v>326700</v>
      </c>
      <c r="N96" s="161">
        <f t="shared" ca="1" si="56"/>
        <v>308251</v>
      </c>
      <c r="O96" s="160">
        <f t="shared" ca="1" si="53"/>
        <v>96.38868042526579</v>
      </c>
      <c r="P96" s="160">
        <f t="shared" ca="1" si="54"/>
        <v>94.35292317110499</v>
      </c>
    </row>
    <row r="97" spans="1:16" ht="21.75" customHeight="1" x14ac:dyDescent="0.3">
      <c r="A97" s="162"/>
      <c r="B97" s="163"/>
      <c r="C97" s="163" t="s">
        <v>16</v>
      </c>
      <c r="D97" s="574" t="s">
        <v>20</v>
      </c>
      <c r="E97" s="575"/>
      <c r="F97" s="575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135000</v>
      </c>
      <c r="M98" s="173">
        <f ca="1">IFERROR(__xludf.DUMMYFUNCTION("IMPORTRANGE(""https://docs.google.com/spreadsheets/d/1Yj_ptqi66GCucihVvJfMjLAmec39IyEx_6qawtMGysU/edit?usp=sharing"",""สบก!AR84"")"),141900)</f>
        <v>141900</v>
      </c>
      <c r="N98" s="174">
        <f ca="1">IFERROR(__xludf.DUMMYFUNCTION("IMPORTRANGE(""https://docs.google.com/spreadsheets/d/1Yj_ptqi66GCucihVvJfMjLAmec39IyEx_6qawtMGysU/edit?usp=sharing"",""สบก!AS84"")"),123451)</f>
        <v>123451</v>
      </c>
      <c r="O98" s="175">
        <f ca="1">IF(L98&gt;0,N98*100/L98,0)</f>
        <v>91.445185185185181</v>
      </c>
      <c r="P98" s="175">
        <f ca="1">IF(M98&gt;0,N98*100/M98,0)</f>
        <v>86.998590556730093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IFERROR(__xludf.DUMMYFUNCTION("IMPORTRANGE(""https://docs.google.com/spreadsheets/d/1Yj_ptqi66GCucihVvJfMjLAmec39IyEx_6qawtMGysU/edit?usp=sharing"",""สบก!AN84"")"),0)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IFERROR(__xludf.DUMMYFUNCTION("IMPORTRANGE(""https://docs.google.com/spreadsheets/d/1Yj_ptqi66GCucihVvJfMjLAmec39IyEx_6qawtMGysU/edit?usp=sharing"",""สบก!AO84"")"),135000)</f>
        <v>135000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6" t="s">
        <v>23</v>
      </c>
      <c r="E101" s="575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IFERROR(__xludf.DUMMYFUNCTION("IMPORTRANGE(""https://docs.google.com/spreadsheets/d/1Yj_ptqi66GCucihVvJfMjLAmec39IyEx_6qawtMGysU/edit?usp=sharing"",""สบก!AP84"")"),184800)</f>
        <v>184800</v>
      </c>
      <c r="M102" s="101">
        <f ca="1">L102</f>
        <v>184800</v>
      </c>
      <c r="N102" s="91">
        <f ca="1">IFERROR(__xludf.DUMMYFUNCTION("IMPORTRANGE(""https://docs.google.com/spreadsheets/d/1Yj_ptqi66GCucihVvJfMjLAmec39IyEx_6qawtMGysU/edit?usp=sharing"",""สบก!AT84"")"),184800)</f>
        <v>184800</v>
      </c>
      <c r="O102" s="101">
        <f ca="1">IF(L102&gt;0,N102*100/L102,0)</f>
        <v>100</v>
      </c>
      <c r="P102" s="101">
        <f ca="1">IF(M102&gt;0,N102*100/M102,0)</f>
        <v>100</v>
      </c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IFERROR(__xludf.DUMMYFUNCTION("IMPORTRANGE(""https://docs.google.com/spreadsheets/d/1IYY_tgx_IHuhSq3AJ5eI5OnqOPBNLWSHKh2a30DoXe8/edit?usp=sharing"",""นครศรีธรรมราช!J39"")"),0)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IFERROR(__xludf.DUMMYFUNCTION("IMPORTRANGE(""https://docs.google.com/spreadsheets/d/1IYY_tgx_IHuhSq3AJ5eI5OnqOPBNLWSHKh2a30DoXe8/edit?usp=sharing"",""นครศรีธรรมราช!J40"")"),1)</f>
        <v>1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IFERROR(__xludf.DUMMYFUNCTION("IMPORTRANGE(""https://docs.google.com/spreadsheets/d/1IYY_tgx_IHuhSq3AJ5eI5OnqOPBNLWSHKh2a30DoXe8/edit?usp=sharing"",""นครศรีธรรมราช!J41"")"),1)</f>
        <v>1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IFERROR(__xludf.DUMMYFUNCTION("IMPORTRANGE(""https://docs.google.com/spreadsheets/d/1IYY_tgx_IHuhSq3AJ5eI5OnqOPBNLWSHKh2a30DoXe8/edit?usp=sharing"",""นครศรีธรรมราช!J42"")"),1)</f>
        <v>1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IFERROR(__xludf.DUMMYFUNCTION("IMPORTRANGE(""https://docs.google.com/spreadsheets/d/1IYY_tgx_IHuhSq3AJ5eI5OnqOPBNLWSHKh2a30DoXe8/edit?usp=sharing"",""นครศรีธรรมราช!I43"")"),1)</f>
        <v>1</v>
      </c>
      <c r="J108" s="210">
        <f ca="1">IFERROR(__xludf.DUMMYFUNCTION("IMPORTRANGE(""https://docs.google.com/spreadsheets/d/1IYY_tgx_IHuhSq3AJ5eI5OnqOPBNLWSHKh2a30DoXe8/edit?usp=sharing"",""นครศรีธรรมราช!J43"")"),1)</f>
        <v>1</v>
      </c>
      <c r="K108" s="230">
        <f t="shared" ref="K108:K113" ca="1" si="57">IF(I108&gt;0,J108*100/I108,0)</f>
        <v>100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IFERROR(__xludf.DUMMYFUNCTION("IMPORTRANGE(""https://docs.google.com/spreadsheets/d/1IYY_tgx_IHuhSq3AJ5eI5OnqOPBNLWSHKh2a30DoXe8/edit?usp=sharing"",""นครศรีธรรมราช!I44"")"),7)</f>
        <v>7</v>
      </c>
      <c r="J109" s="210">
        <f ca="1">IFERROR(__xludf.DUMMYFUNCTION("IMPORTRANGE(""https://docs.google.com/spreadsheets/d/1IYY_tgx_IHuhSq3AJ5eI5OnqOPBNLWSHKh2a30DoXe8/edit?usp=sharing"",""นครศรีธรรมราช!J44"")"),7)</f>
        <v>7</v>
      </c>
      <c r="K109" s="230">
        <f t="shared" ca="1" si="57"/>
        <v>100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IFERROR(__xludf.DUMMYFUNCTION("IMPORTRANGE(""https://docs.google.com/spreadsheets/d/1IYY_tgx_IHuhSq3AJ5eI5OnqOPBNLWSHKh2a30DoXe8/edit?usp=sharing"",""นครศรีธรรมราช!I45"")"),7)</f>
        <v>7</v>
      </c>
      <c r="J110" s="210">
        <f ca="1">IFERROR(__xludf.DUMMYFUNCTION("IMPORTRANGE(""https://docs.google.com/spreadsheets/d/1IYY_tgx_IHuhSq3AJ5eI5OnqOPBNLWSHKh2a30DoXe8/edit?usp=sharing"",""นครศรีธรรมราช!J45"")"),7)</f>
        <v>7</v>
      </c>
      <c r="K110" s="230">
        <f t="shared" ca="1" si="57"/>
        <v>100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IFERROR(__xludf.DUMMYFUNCTION("IMPORTRANGE(""https://docs.google.com/spreadsheets/d/1IYY_tgx_IHuhSq3AJ5eI5OnqOPBNLWSHKh2a30DoXe8/edit?usp=sharing"",""นครศรีธรรมราช!I46"")"),7)</f>
        <v>7</v>
      </c>
      <c r="J111" s="210">
        <f ca="1">IFERROR(__xludf.DUMMYFUNCTION("IMPORTRANGE(""https://docs.google.com/spreadsheets/d/1IYY_tgx_IHuhSq3AJ5eI5OnqOPBNLWSHKh2a30DoXe8/edit?usp=sharing"",""นครศรีธรรมราช!J46"")"),7)</f>
        <v>7</v>
      </c>
      <c r="K111" s="230">
        <f t="shared" ca="1" si="57"/>
        <v>100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IFERROR(__xludf.DUMMYFUNCTION("IMPORTRANGE(""https://docs.google.com/spreadsheets/d/1IYY_tgx_IHuhSq3AJ5eI5OnqOPBNLWSHKh2a30DoXe8/edit?usp=sharing"",""นครศรีธรรมราช!I47"")"),7)</f>
        <v>7</v>
      </c>
      <c r="J112" s="210">
        <f ca="1">IFERROR(__xludf.DUMMYFUNCTION("IMPORTRANGE(""https://docs.google.com/spreadsheets/d/1IYY_tgx_IHuhSq3AJ5eI5OnqOPBNLWSHKh2a30DoXe8/edit?usp=sharing"",""นครศรีธรรมราช!J47"")"),7)</f>
        <v>7</v>
      </c>
      <c r="K112" s="230">
        <f t="shared" ca="1" si="57"/>
        <v>100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IFERROR(__xludf.DUMMYFUNCTION("IMPORTRANGE(""https://docs.google.com/spreadsheets/d/1IYY_tgx_IHuhSq3AJ5eI5OnqOPBNLWSHKh2a30DoXe8/edit?usp=sharing"",""นครศรีธรรมราช!I48"")"),2)</f>
        <v>2</v>
      </c>
      <c r="J113" s="210">
        <f ca="1">IFERROR(__xludf.DUMMYFUNCTION("IMPORTRANGE(""https://docs.google.com/spreadsheets/d/1IYY_tgx_IHuhSq3AJ5eI5OnqOPBNLWSHKh2a30DoXe8/edit?usp=sharing"",""นครศรีธรรมราช!J48"")"),2)</f>
        <v>2</v>
      </c>
      <c r="K113" s="230">
        <f t="shared" ca="1" si="57"/>
        <v>100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IFERROR(__xludf.DUMMYFUNCTION("IMPORTRANGE(""https://docs.google.com/spreadsheets/d/1IYY_tgx_IHuhSq3AJ5eI5OnqOPBNLWSHKh2a30DoXe8/edit?usp=sharing"",""นครศรีธรรมราช!J49"")"),0)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IFERROR(__xludf.DUMMYFUNCTION("IMPORTRANGE(""https://docs.google.com/spreadsheets/d/1IYY_tgx_IHuhSq3AJ5eI5OnqOPBNLWSHKh2a30DoXe8/edit?usp=sharing"",""นครศรีธรรมราช!J50"")"),0)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IFERROR(__xludf.DUMMYFUNCTION("IMPORTRANGE(""https://docs.google.com/spreadsheets/d/1IYY_tgx_IHuhSq3AJ5eI5OnqOPBNLWSHKh2a30DoXe8/edit?usp=sharing"",""นครศรีธรรมราช!I52"")"),0)</f>
        <v>0</v>
      </c>
      <c r="J117" s="146">
        <f ca="1">IFERROR(__xludf.DUMMYFUNCTION("IMPORTRANGE(""https://docs.google.com/spreadsheets/d/1IYY_tgx_IHuhSq3AJ5eI5OnqOPBNLWSHKh2a30DoXe8/edit?usp=sharing"",""นครศรีธรรมราช!J52"")"),0)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2" t="s">
        <v>17</v>
      </c>
      <c r="E118" s="573"/>
      <c r="F118" s="573"/>
      <c r="G118" s="573"/>
      <c r="H118" s="153" t="s">
        <v>12</v>
      </c>
      <c r="I118" s="166"/>
      <c r="J118" s="166"/>
      <c r="K118" s="167"/>
      <c r="L118" s="156">
        <f t="shared" ref="L118:N118" ca="1" si="58">L119+L120</f>
        <v>0</v>
      </c>
      <c r="M118" s="156">
        <f t="shared" ca="1" si="58"/>
        <v>0</v>
      </c>
      <c r="N118" s="156">
        <f t="shared" ca="1" si="58"/>
        <v>0</v>
      </c>
      <c r="O118" s="155">
        <f t="shared" ref="O118:O120" ca="1" si="59">IF(L118&gt;0,N118*100/L118,0)</f>
        <v>0</v>
      </c>
      <c r="P118" s="155">
        <f t="shared" ref="P118:P120" ca="1" si="60">IF(M118&gt;0,N118*100/M118,0)</f>
        <v>0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0</v>
      </c>
      <c r="M120" s="161">
        <f t="shared" ca="1" si="62"/>
        <v>0</v>
      </c>
      <c r="N120" s="161">
        <f t="shared" ca="1" si="62"/>
        <v>0</v>
      </c>
      <c r="O120" s="160">
        <f t="shared" ca="1" si="59"/>
        <v>0</v>
      </c>
      <c r="P120" s="160">
        <f t="shared" ca="1" si="60"/>
        <v>0</v>
      </c>
    </row>
    <row r="121" spans="1:16" ht="21.75" customHeight="1" x14ac:dyDescent="0.3">
      <c r="A121" s="162"/>
      <c r="B121" s="163"/>
      <c r="C121" s="163" t="s">
        <v>16</v>
      </c>
      <c r="D121" s="574" t="s">
        <v>20</v>
      </c>
      <c r="E121" s="575"/>
      <c r="F121" s="575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0</v>
      </c>
      <c r="M122" s="173">
        <f ca="1">IFERROR(__xludf.DUMMYFUNCTION("IMPORTRANGE(""https://docs.google.com/spreadsheets/d/1Yj_ptqi66GCucihVvJfMjLAmec39IyEx_6qawtMGysU/edit?usp=sharing"",""สบก!BA84"")"),0)</f>
        <v>0</v>
      </c>
      <c r="N122" s="174">
        <f ca="1">IFERROR(__xludf.DUMMYFUNCTION("IMPORTRANGE(""https://docs.google.com/spreadsheets/d/1Yj_ptqi66GCucihVvJfMjLAmec39IyEx_6qawtMGysU/edit?usp=sharing"",""สบก!BB84"")"),0)</f>
        <v>0</v>
      </c>
      <c r="O122" s="175">
        <f ca="1">IF(L122&gt;0,N122*100/L122,0)</f>
        <v>0</v>
      </c>
      <c r="P122" s="175">
        <f ca="1">IF(M122&gt;0,N122*100/M122,0)</f>
        <v>0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IFERROR(__xludf.DUMMYFUNCTION("IMPORTRANGE(""https://docs.google.com/spreadsheets/d/1Yj_ptqi66GCucihVvJfMjLAmec39IyEx_6qawtMGysU/edit?usp=sharing"",""สบก!AW84"")"),0)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IFERROR(__xludf.DUMMYFUNCTION("IMPORTRANGE(""https://docs.google.com/spreadsheets/d/1Yj_ptqi66GCucihVvJfMjLAmec39IyEx_6qawtMGysU/edit?usp=sharing"",""สบก!AX84"")"),0)</f>
        <v>0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6" t="s">
        <v>23</v>
      </c>
      <c r="E125" s="575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IFERROR(__xludf.DUMMYFUNCTION("IMPORTRANGE(""https://docs.google.com/spreadsheets/d/1Yj_ptqi66GCucihVvJfMjLAmec39IyEx_6qawtMGysU/edit?usp=sharing"",""สบก!AY84"")"),0)</f>
        <v>0</v>
      </c>
      <c r="M126" s="101"/>
      <c r="N126" s="91">
        <f ca="1">IFERROR(__xludf.DUMMYFUNCTION("IMPORTRANGE(""https://docs.google.com/spreadsheets/d/1Yj_ptqi66GCucihVvJfMjLAmec39IyEx_6qawtMGysU/edit?usp=sharing"",""สบก!BC84"")"),0)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267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IFERROR(__xludf.DUMMYFUNCTION("IMPORTRANGE(""https://docs.google.com/spreadsheets/d/1IYY_tgx_IHuhSq3AJ5eI5OnqOPBNLWSHKh2a30DoXe8/edit?usp=sharing"",""นครศรีธรรมราช!J58"")"),0)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IFERROR(__xludf.DUMMYFUNCTION("IMPORTRANGE(""https://docs.google.com/spreadsheets/d/1IYY_tgx_IHuhSq3AJ5eI5OnqOPBNLWSHKh2a30DoXe8/edit?usp=sharing"",""นครศรีธรรมราช!J59"")"),0)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IFERROR(__xludf.DUMMYFUNCTION("IMPORTRANGE(""https://docs.google.com/spreadsheets/d/1IYY_tgx_IHuhSq3AJ5eI5OnqOPBNLWSHKh2a30DoXe8/edit?usp=sharing"",""นครศรีธรรมราช!J60"")"),0)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IFERROR(__xludf.DUMMYFUNCTION("IMPORTRANGE(""https://docs.google.com/spreadsheets/d/1IYY_tgx_IHuhSq3AJ5eI5OnqOPBNLWSHKh2a30DoXe8/edit?usp=sharing"",""นครศรีธรรมราช!J61"")"),0)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IFERROR(__xludf.DUMMYFUNCTION("IMPORTRANGE(""https://docs.google.com/spreadsheets/d/1IYY_tgx_IHuhSq3AJ5eI5OnqOPBNLWSHKh2a30DoXe8/edit?usp=sharing"",""นครศรีธรรมราช!I62"")"),0)</f>
        <v>0</v>
      </c>
      <c r="J132" s="210">
        <f ca="1">IFERROR(__xludf.DUMMYFUNCTION("IMPORTRANGE(""https://docs.google.com/spreadsheets/d/1IYY_tgx_IHuhSq3AJ5eI5OnqOPBNLWSHKh2a30DoXe8/edit?usp=sharing"",""นครศรีธรรมราช!J62"")"),0)</f>
        <v>0</v>
      </c>
      <c r="K132" s="230">
        <f t="shared" ref="K132:K133" ca="1" si="63">IF(I132&gt;0,J132*100/I132,0)</f>
        <v>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IFERROR(__xludf.DUMMYFUNCTION("IMPORTRANGE(""https://docs.google.com/spreadsheets/d/1IYY_tgx_IHuhSq3AJ5eI5OnqOPBNLWSHKh2a30DoXe8/edit?usp=sharing"",""นครศรีธรรมราช!I63"")"),0)</f>
        <v>0</v>
      </c>
      <c r="J133" s="210">
        <f ca="1">IFERROR(__xludf.DUMMYFUNCTION("IMPORTRANGE(""https://docs.google.com/spreadsheets/d/1IYY_tgx_IHuhSq3AJ5eI5OnqOPBNLWSHKh2a30DoXe8/edit?usp=sharing"",""นครศรีธรรมราช!J63"")"),0)</f>
        <v>0</v>
      </c>
      <c r="K133" s="230">
        <f t="shared" ca="1" si="63"/>
        <v>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IFERROR(__xludf.DUMMYFUNCTION("IMPORTRANGE(""https://docs.google.com/spreadsheets/d/1IYY_tgx_IHuhSq3AJ5eI5OnqOPBNLWSHKh2a30DoXe8/edit?usp=sharing"",""นครศรีธรรมราช!J64"")"),0)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IFERROR(__xludf.DUMMYFUNCTION("IMPORTRANGE(""https://docs.google.com/spreadsheets/d/1IYY_tgx_IHuhSq3AJ5eI5OnqOPBNLWSHKh2a30DoXe8/edit?usp=sharing"",""นครศรีธรรมราช!J65"")"),0)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IFERROR(__xludf.DUMMYFUNCTION("IMPORTRANGE(""https://docs.google.com/spreadsheets/d/1IYY_tgx_IHuhSq3AJ5eI5OnqOPBNLWSHKh2a30DoXe8/edit?usp=sharing"",""นครศรีธรรมราช!I68"")"),100)</f>
        <v>100</v>
      </c>
      <c r="J138" s="273">
        <f ca="1">IFERROR(__xludf.DUMMYFUNCTION("IMPORTRANGE(""https://docs.google.com/spreadsheets/d/1IYY_tgx_IHuhSq3AJ5eI5OnqOPBNLWSHKh2a30DoXe8/edit?usp=sharing"",""นครศรีธรรมราช!J68"")"),102)</f>
        <v>102</v>
      </c>
      <c r="K138" s="274">
        <f ca="1">IF(I138&gt;0,J138*100/I138,0)</f>
        <v>102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2" t="s">
        <v>17</v>
      </c>
      <c r="E140" s="573"/>
      <c r="F140" s="573"/>
      <c r="G140" s="573"/>
      <c r="H140" s="153" t="s">
        <v>12</v>
      </c>
      <c r="I140" s="166"/>
      <c r="J140" s="166"/>
      <c r="K140" s="167"/>
      <c r="L140" s="156">
        <f t="shared" ref="L140:N140" ca="1" si="64">L141+L142</f>
        <v>822030</v>
      </c>
      <c r="M140" s="156">
        <f t="shared" ca="1" si="64"/>
        <v>822030</v>
      </c>
      <c r="N140" s="156">
        <f t="shared" ca="1" si="64"/>
        <v>729506.67</v>
      </c>
      <c r="O140" s="155">
        <f t="shared" ref="O140:O142" ca="1" si="65">IF(L140&gt;0,N140*100/L140,0)</f>
        <v>88.744531221488273</v>
      </c>
      <c r="P140" s="155">
        <f t="shared" ref="P140:P142" ca="1" si="66">IF(M140&gt;0,N140*100/M140,0)</f>
        <v>88.744531221488273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822030</v>
      </c>
      <c r="M142" s="161">
        <f t="shared" ca="1" si="68"/>
        <v>822030</v>
      </c>
      <c r="N142" s="161">
        <f t="shared" ca="1" si="68"/>
        <v>729506.67</v>
      </c>
      <c r="O142" s="160">
        <f t="shared" ca="1" si="65"/>
        <v>88.744531221488273</v>
      </c>
      <c r="P142" s="160">
        <f t="shared" ca="1" si="66"/>
        <v>88.744531221488273</v>
      </c>
    </row>
    <row r="143" spans="1:16" ht="21.75" customHeight="1" x14ac:dyDescent="0.3">
      <c r="A143" s="162"/>
      <c r="B143" s="163"/>
      <c r="C143" s="163" t="s">
        <v>16</v>
      </c>
      <c r="D143" s="574" t="s">
        <v>20</v>
      </c>
      <c r="E143" s="575"/>
      <c r="F143" s="575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822030</v>
      </c>
      <c r="M144" s="173">
        <f ca="1">IFERROR(__xludf.DUMMYFUNCTION("IMPORTRANGE(""https://docs.google.com/spreadsheets/d/1Yj_ptqi66GCucihVvJfMjLAmec39IyEx_6qawtMGysU/edit?usp=sharing"",""สบก!BJ84"")"),822030)</f>
        <v>822030</v>
      </c>
      <c r="N144" s="174">
        <f ca="1">IFERROR(__xludf.DUMMYFUNCTION("IMPORTRANGE(""https://docs.google.com/spreadsheets/d/1Yj_ptqi66GCucihVvJfMjLAmec39IyEx_6qawtMGysU/edit?usp=sharing"",""สบก!BK84"")"),729506.67)</f>
        <v>729506.67</v>
      </c>
      <c r="O144" s="175">
        <f ca="1">IF(L144&gt;0,N144*100/L144,0)</f>
        <v>88.744531221488273</v>
      </c>
      <c r="P144" s="175">
        <f ca="1">IF(M144&gt;0,N144*100/M144,0)</f>
        <v>88.744531221488273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IFERROR(__xludf.DUMMYFUNCTION("IMPORTRANGE(""https://docs.google.com/spreadsheets/d/1Yj_ptqi66GCucihVvJfMjLAmec39IyEx_6qawtMGysU/edit?usp=sharing"",""สบก!BF84"")"),330100)</f>
        <v>330100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IFERROR(__xludf.DUMMYFUNCTION("IMPORTRANGE(""https://docs.google.com/spreadsheets/d/1Yj_ptqi66GCucihVvJfMjLAmec39IyEx_6qawtMGysU/edit?usp=sharing"",""สบก!BG84"")"),491930)</f>
        <v>491930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6" t="s">
        <v>23</v>
      </c>
      <c r="E147" s="575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IFERROR(__xludf.DUMMYFUNCTION("IMPORTRANGE(""https://docs.google.com/spreadsheets/d/1Yj_ptqi66GCucihVvJfMjLAmec39IyEx_6qawtMGysU/edit?usp=sharing"",""สบก!BH84"")"),0)</f>
        <v>0</v>
      </c>
      <c r="M148" s="101"/>
      <c r="N148" s="91">
        <f ca="1">IFERROR(__xludf.DUMMYFUNCTION("IMPORTRANGE(""https://docs.google.com/spreadsheets/d/1Yj_ptqi66GCucihVvJfMjLAmec39IyEx_6qawtMGysU/edit?usp=sharing"",""สบก!BL84"")"),0)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IFERROR(__xludf.DUMMYFUNCTION("IMPORTRANGE(""https://docs.google.com/spreadsheets/d/1IYY_tgx_IHuhSq3AJ5eI5OnqOPBNLWSHKh2a30DoXe8/edit?usp=sharing"",""นครศรีธรรมราช!I74"")"),4)</f>
        <v>4</v>
      </c>
      <c r="J149" s="281">
        <f ca="1">IFERROR(__xludf.DUMMYFUNCTION("IMPORTRANGE(""https://docs.google.com/spreadsheets/d/1IYY_tgx_IHuhSq3AJ5eI5OnqOPBNLWSHKh2a30DoXe8/edit?usp=sharing"",""นครศรีธรรมราช!J74"")"),4)</f>
        <v>4</v>
      </c>
      <c r="K149" s="282">
        <f ca="1">IF(I149&gt;0,J149*100/I149,0)</f>
        <v>100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IFERROR(__xludf.DUMMYFUNCTION("IMPORTRANGE(""https://docs.google.com/spreadsheets/d/1IYY_tgx_IHuhSq3AJ5eI5OnqOPBNLWSHKh2a30DoXe8/edit?usp=sharing"",""นครศรีธรรมราช!J79"")"),0)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IFERROR(__xludf.DUMMYFUNCTION("IMPORTRANGE(""https://docs.google.com/spreadsheets/d/1IYY_tgx_IHuhSq3AJ5eI5OnqOPBNLWSHKh2a30DoXe8/edit?usp=sharing"",""นครศรีธรรมราช!J80"")"),1)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IFERROR(__xludf.DUMMYFUNCTION("IMPORTRANGE(""https://docs.google.com/spreadsheets/d/1IYY_tgx_IHuhSq3AJ5eI5OnqOPBNLWSHKh2a30DoXe8/edit?usp=sharing"",""นครศรีธรรมราช!J81"")"),1)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IFERROR(__xludf.DUMMYFUNCTION("IMPORTRANGE(""https://docs.google.com/spreadsheets/d/1IYY_tgx_IHuhSq3AJ5eI5OnqOPBNLWSHKh2a30DoXe8/edit?usp=sharing"",""นครศรีธรรมราช!J82"")"),1)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IFERROR(__xludf.DUMMYFUNCTION("IMPORTRANGE(""https://docs.google.com/spreadsheets/d/1IYY_tgx_IHuhSq3AJ5eI5OnqOPBNLWSHKh2a30DoXe8/edit?usp=sharing"",""นครศรีธรรมราช!I83"")"),4)</f>
        <v>4</v>
      </c>
      <c r="J158" s="195">
        <f ca="1">IFERROR(__xludf.DUMMYFUNCTION("IMPORTRANGE(""https://docs.google.com/spreadsheets/d/1IYY_tgx_IHuhSq3AJ5eI5OnqOPBNLWSHKh2a30DoXe8/edit?usp=sharing"",""นครศรีธรรมราช!J83"")"),4)</f>
        <v>4</v>
      </c>
      <c r="K158" s="167">
        <f ca="1">IF(I158&gt;0,J158*100/I158,0)</f>
        <v>100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IFERROR(__xludf.DUMMYFUNCTION("IMPORTRANGE(""https://docs.google.com/spreadsheets/d/1IYY_tgx_IHuhSq3AJ5eI5OnqOPBNLWSHKh2a30DoXe8/edit?usp=sharing"",""นครศรีธรรมราช!J84"")"),103)</f>
        <v>103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IFERROR(__xludf.DUMMYFUNCTION("IMPORTRANGE(""https://docs.google.com/spreadsheets/d/1IYY_tgx_IHuhSq3AJ5eI5OnqOPBNLWSHKh2a30DoXe8/edit?usp=sharing"",""นครศรีธรรมราช!J85"")"),103)</f>
        <v>103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IFERROR(__xludf.DUMMYFUNCTION("IMPORTRANGE(""https://docs.google.com/spreadsheets/d/1IYY_tgx_IHuhSq3AJ5eI5OnqOPBNLWSHKh2a30DoXe8/edit?usp=sharing"",""นครศรีธรรมราช!J86"")"),0)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IFERROR(__xludf.DUMMYFUNCTION("IMPORTRANGE(""https://docs.google.com/spreadsheets/d/1IYY_tgx_IHuhSq3AJ5eI5OnqOPBNLWSHKh2a30DoXe8/edit?usp=sharing"",""นครศรีธรรมราช!J87"")"),0)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IFERROR(__xludf.DUMMYFUNCTION("IMPORTRANGE(""https://docs.google.com/spreadsheets/d/1IYY_tgx_IHuhSq3AJ5eI5OnqOPBNLWSHKh2a30DoXe8/edit?usp=sharing"",""นครศรีธรรมราช!J88"")"),0)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IFERROR(__xludf.DUMMYFUNCTION("IMPORTRANGE(""https://docs.google.com/spreadsheets/d/1IYY_tgx_IHuhSq3AJ5eI5OnqOPBNLWSHKh2a30DoXe8/edit?usp=sharing"",""นครศรีธรรมราช!I89"")"),4)</f>
        <v>4</v>
      </c>
      <c r="J164" s="290">
        <f ca="1">IFERROR(__xludf.DUMMYFUNCTION("IMPORTRANGE(""https://docs.google.com/spreadsheets/d/1IYY_tgx_IHuhSq3AJ5eI5OnqOPBNLWSHKh2a30DoXe8/edit?usp=sharing"",""นครศรีธรรมราช!J89"")"),4)</f>
        <v>4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IFERROR(__xludf.DUMMYFUNCTION("IMPORTRANGE(""https://docs.google.com/spreadsheets/d/1IYY_tgx_IHuhSq3AJ5eI5OnqOPBNLWSHKh2a30DoXe8/edit?usp=sharing"",""นครศรีธรรมราช!J94"")"),0)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IFERROR(__xludf.DUMMYFUNCTION("IMPORTRANGE(""https://docs.google.com/spreadsheets/d/1IYY_tgx_IHuhSq3AJ5eI5OnqOPBNLWSHKh2a30DoXe8/edit?usp=sharing"",""นครศรีธรรมราช!J95"")"),1)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IFERROR(__xludf.DUMMYFUNCTION("IMPORTRANGE(""https://docs.google.com/spreadsheets/d/1IYY_tgx_IHuhSq3AJ5eI5OnqOPBNLWSHKh2a30DoXe8/edit?usp=sharing"",""นครศรีธรรมราช!J96"")"),1)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IFERROR(__xludf.DUMMYFUNCTION("IMPORTRANGE(""https://docs.google.com/spreadsheets/d/1IYY_tgx_IHuhSq3AJ5eI5OnqOPBNLWSHKh2a30DoXe8/edit?usp=sharing"",""นครศรีธรรมราช!J97"")"),1)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IFERROR(__xludf.DUMMYFUNCTION("IMPORTRANGE(""https://docs.google.com/spreadsheets/d/1IYY_tgx_IHuhSq3AJ5eI5OnqOPBNLWSHKh2a30DoXe8/edit?usp=sharing"",""นครศรีธรรมราช!I98"")"),4)</f>
        <v>4</v>
      </c>
      <c r="J173" s="195">
        <f ca="1">IFERROR(__xludf.DUMMYFUNCTION("IMPORTRANGE(""https://docs.google.com/spreadsheets/d/1IYY_tgx_IHuhSq3AJ5eI5OnqOPBNLWSHKh2a30DoXe8/edit?usp=sharing"",""นครศรีธรรมราช!J98"")"),4)</f>
        <v>4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IFERROR(__xludf.DUMMYFUNCTION("IMPORTRANGE(""https://docs.google.com/spreadsheets/d/1IYY_tgx_IHuhSq3AJ5eI5OnqOPBNLWSHKh2a30DoXe8/edit?usp=sharing"",""นครศรีธรรมราช!J99"")"),1)</f>
        <v>1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IFERROR(__xludf.DUMMYFUNCTION("IMPORTRANGE(""https://docs.google.com/spreadsheets/d/1IYY_tgx_IHuhSq3AJ5eI5OnqOPBNLWSHKh2a30DoXe8/edit?usp=sharing"",""นครศรีธรรมราช!J100"")"),0)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IFERROR(__xludf.DUMMYFUNCTION("IMPORTRANGE(""https://docs.google.com/spreadsheets/d/1IYY_tgx_IHuhSq3AJ5eI5OnqOPBNLWSHKh2a30DoXe8/edit?usp=sharing"",""นครศรีธรรมราช!I101"")"),2)</f>
        <v>2</v>
      </c>
      <c r="J176" s="290">
        <f ca="1">IFERROR(__xludf.DUMMYFUNCTION("IMPORTRANGE(""https://docs.google.com/spreadsheets/d/1IYY_tgx_IHuhSq3AJ5eI5OnqOPBNLWSHKh2a30DoXe8/edit?usp=sharing"",""นครศรีธรรมราช!J101"")"),2)</f>
        <v>2</v>
      </c>
      <c r="K176" s="291">
        <f ca="1">IF(I176&gt;0,J176*100/I176,0)</f>
        <v>100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IFERROR(__xludf.DUMMYFUNCTION("IMPORTRANGE(""https://docs.google.com/spreadsheets/d/1IYY_tgx_IHuhSq3AJ5eI5OnqOPBNLWSHKh2a30DoXe8/edit?usp=sharing"",""นครศรีธรรมราช!J106"")"),0)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IFERROR(__xludf.DUMMYFUNCTION("IMPORTRANGE(""https://docs.google.com/spreadsheets/d/1IYY_tgx_IHuhSq3AJ5eI5OnqOPBNLWSHKh2a30DoXe8/edit?usp=sharing"",""นครศรีธรรมราช!J107"")"),1)</f>
        <v>1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IFERROR(__xludf.DUMMYFUNCTION("IMPORTRANGE(""https://docs.google.com/spreadsheets/d/1IYY_tgx_IHuhSq3AJ5eI5OnqOPBNLWSHKh2a30DoXe8/edit?usp=sharing"",""นครศรีธรรมราช!J108"")"),1)</f>
        <v>1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IFERROR(__xludf.DUMMYFUNCTION("IMPORTRANGE(""https://docs.google.com/spreadsheets/d/1IYY_tgx_IHuhSq3AJ5eI5OnqOPBNLWSHKh2a30DoXe8/edit?usp=sharing"",""นครศรีธรรมราช!J109"")"),1)</f>
        <v>1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IFERROR(__xludf.DUMMYFUNCTION("IMPORTRANGE(""https://docs.google.com/spreadsheets/d/1IYY_tgx_IHuhSq3AJ5eI5OnqOPBNLWSHKh2a30DoXe8/edit?usp=sharing"",""นครศรีธรรมราช!I110"")"),2)</f>
        <v>2</v>
      </c>
      <c r="J185" s="210">
        <f ca="1">IFERROR(__xludf.DUMMYFUNCTION("IMPORTRANGE(""https://docs.google.com/spreadsheets/d/1IYY_tgx_IHuhSq3AJ5eI5OnqOPBNLWSHKh2a30DoXe8/edit?usp=sharing"",""นครศรีธรรมราช!J110"")"),0)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IFERROR(__xludf.DUMMYFUNCTION("IMPORTRANGE(""https://docs.google.com/spreadsheets/d/1IYY_tgx_IHuhSq3AJ5eI5OnqOPBNLWSHKh2a30DoXe8/edit?usp=sharing"",""นครศรีธรรมราช!I111"")"),2)</f>
        <v>2</v>
      </c>
      <c r="J186" s="210">
        <f ca="1">IFERROR(__xludf.DUMMYFUNCTION("IMPORTRANGE(""https://docs.google.com/spreadsheets/d/1IYY_tgx_IHuhSq3AJ5eI5OnqOPBNLWSHKh2a30DoXe8/edit?usp=sharing"",""นครศรีธรรมราช!J111"")"),2)</f>
        <v>2</v>
      </c>
      <c r="K186" s="230">
        <f t="shared" ca="1" si="69"/>
        <v>100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IFERROR(__xludf.DUMMYFUNCTION("IMPORTRANGE(""https://docs.google.com/spreadsheets/d/1IYY_tgx_IHuhSq3AJ5eI5OnqOPBNLWSHKh2a30DoXe8/edit?usp=sharing"",""นครศรีธรรมราช!J112"")"),0)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IFERROR(__xludf.DUMMYFUNCTION("IMPORTRANGE(""https://docs.google.com/spreadsheets/d/1IYY_tgx_IHuhSq3AJ5eI5OnqOPBNLWSHKh2a30DoXe8/edit?usp=sharing"",""นครศรีธรรมราช!J113"")"),0)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IFERROR(__xludf.DUMMYFUNCTION("IMPORTRANGE(""https://docs.google.com/spreadsheets/d/1IYY_tgx_IHuhSq3AJ5eI5OnqOPBNLWSHKh2a30DoXe8/edit?usp=sharing"",""นครศรีธรรมราช!I114"")"),50000)</f>
        <v>50000</v>
      </c>
      <c r="J189" s="290">
        <f ca="1">IFERROR(__xludf.DUMMYFUNCTION("IMPORTRANGE(""https://docs.google.com/spreadsheets/d/1IYY_tgx_IHuhSq3AJ5eI5OnqOPBNLWSHKh2a30DoXe8/edit?usp=sharing"",""นครศรีธรรมราช!J114"")"),50000)</f>
        <v>50000</v>
      </c>
      <c r="K189" s="291">
        <f ca="1">IF(I189&gt;0,J189*100/I189,0)</f>
        <v>100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IFERROR(__xludf.DUMMYFUNCTION("IMPORTRANGE(""https://docs.google.com/spreadsheets/d/1IYY_tgx_IHuhSq3AJ5eI5OnqOPBNLWSHKh2a30DoXe8/edit?usp=sharing"",""นครศรีธรรมราช!J119"")"),0)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IFERROR(__xludf.DUMMYFUNCTION("IMPORTRANGE(""https://docs.google.com/spreadsheets/d/1IYY_tgx_IHuhSq3AJ5eI5OnqOPBNLWSHKh2a30DoXe8/edit?usp=sharing"",""นครศรีธรรมราช!J120"")"),1)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IFERROR(__xludf.DUMMYFUNCTION("IMPORTRANGE(""https://docs.google.com/spreadsheets/d/1IYY_tgx_IHuhSq3AJ5eI5OnqOPBNLWSHKh2a30DoXe8/edit?usp=sharing"",""นครศรีธรรมราช!J121"")"),1)</f>
        <v>1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IFERROR(__xludf.DUMMYFUNCTION("IMPORTRANGE(""https://docs.google.com/spreadsheets/d/1IYY_tgx_IHuhSq3AJ5eI5OnqOPBNLWSHKh2a30DoXe8/edit?usp=sharing"",""นครศรีธรรมราช!J122"")"),1)</f>
        <v>1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IFERROR(__xludf.DUMMYFUNCTION("IMPORTRANGE(""https://docs.google.com/spreadsheets/d/1IYY_tgx_IHuhSq3AJ5eI5OnqOPBNLWSHKh2a30DoXe8/edit?usp=sharing"",""นครศรีธรรมราช!I124"")"),50000)</f>
        <v>50000</v>
      </c>
      <c r="J199" s="195">
        <f ca="1">IFERROR(__xludf.DUMMYFUNCTION("IMPORTRANGE(""https://docs.google.com/spreadsheets/d/1IYY_tgx_IHuhSq3AJ5eI5OnqOPBNLWSHKh2a30DoXe8/edit?usp=sharing"",""นครศรีธรรมราช!J124"")"),50000)</f>
        <v>50000</v>
      </c>
      <c r="K199" s="167">
        <f t="shared" ref="K199:K201" ca="1" si="70">IF(I199&gt;0,J199*100/I199,0)</f>
        <v>100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IFERROR(__xludf.DUMMYFUNCTION("IMPORTRANGE(""https://docs.google.com/spreadsheets/d/1IYY_tgx_IHuhSq3AJ5eI5OnqOPBNLWSHKh2a30DoXe8/edit?usp=sharing"",""นครศรีธรรมราช!I125"")"),50000)</f>
        <v>50000</v>
      </c>
      <c r="J200" s="195">
        <f ca="1">IFERROR(__xludf.DUMMYFUNCTION("IMPORTRANGE(""https://docs.google.com/spreadsheets/d/1IYY_tgx_IHuhSq3AJ5eI5OnqOPBNLWSHKh2a30DoXe8/edit?usp=sharing"",""นครศรีธรรมราช!J125"")"),50000)</f>
        <v>50000</v>
      </c>
      <c r="K200" s="167">
        <f t="shared" ca="1" si="70"/>
        <v>100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IFERROR(__xludf.DUMMYFUNCTION("IMPORTRANGE(""https://docs.google.com/spreadsheets/d/1IYY_tgx_IHuhSq3AJ5eI5OnqOPBNLWSHKh2a30DoXe8/edit?usp=sharing"",""นครศรีธรรมราช!I126"")"),0)</f>
        <v>0</v>
      </c>
      <c r="J201" s="195">
        <f ca="1">IFERROR(__xludf.DUMMYFUNCTION("IMPORTRANGE(""https://docs.google.com/spreadsheets/d/1IYY_tgx_IHuhSq3AJ5eI5OnqOPBNLWSHKh2a30DoXe8/edit?usp=sharing"",""นครศรีธรรมราช!J126"")"),0)</f>
        <v>0</v>
      </c>
      <c r="K201" s="167">
        <f t="shared" ca="1" si="70"/>
        <v>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IFERROR(__xludf.DUMMYFUNCTION("IMPORTRANGE(""https://docs.google.com/spreadsheets/d/1IYY_tgx_IHuhSq3AJ5eI5OnqOPBNLWSHKh2a30DoXe8/edit?usp=sharing"",""นครศรีธรรมราช!J127"")"),0)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IFERROR(__xludf.DUMMYFUNCTION("IMPORTRANGE(""https://docs.google.com/spreadsheets/d/1IYY_tgx_IHuhSq3AJ5eI5OnqOPBNLWSHKh2a30DoXe8/edit?usp=sharing"",""นครศรีธรรมราช!J128"")"),0)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IFERROR(__xludf.DUMMYFUNCTION("IMPORTRANGE(""https://docs.google.com/spreadsheets/d/1IYY_tgx_IHuhSq3AJ5eI5OnqOPBNLWSHKh2a30DoXe8/edit?usp=sharing"",""นครศรีธรรมราช!I129"")"),100)</f>
        <v>100</v>
      </c>
      <c r="J204" s="290">
        <f ca="1">IFERROR(__xludf.DUMMYFUNCTION("IMPORTRANGE(""https://docs.google.com/spreadsheets/d/1IYY_tgx_IHuhSq3AJ5eI5OnqOPBNLWSHKh2a30DoXe8/edit?usp=sharing"",""นครศรีธรรมราช!J129"")"),102)</f>
        <v>102</v>
      </c>
      <c r="K204" s="291">
        <f ca="1">IF(I204&gt;0,J204*100/I204,0)</f>
        <v>102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IFERROR(__xludf.DUMMYFUNCTION("IMPORTRANGE(""https://docs.google.com/spreadsheets/d/1IYY_tgx_IHuhSq3AJ5eI5OnqOPBNLWSHKh2a30DoXe8/edit?usp=sharing"",""นครศรีธรรมราช!J134"")"),0)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IFERROR(__xludf.DUMMYFUNCTION("IMPORTRANGE(""https://docs.google.com/spreadsheets/d/1IYY_tgx_IHuhSq3AJ5eI5OnqOPBNLWSHKh2a30DoXe8/edit?usp=sharing"",""นครศรีธรรมราช!J135"")"),1)</f>
        <v>1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IFERROR(__xludf.DUMMYFUNCTION("IMPORTRANGE(""https://docs.google.com/spreadsheets/d/1IYY_tgx_IHuhSq3AJ5eI5OnqOPBNLWSHKh2a30DoXe8/edit?usp=sharing"",""นครศรีธรรมราช!J136"")"),1)</f>
        <v>1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IFERROR(__xludf.DUMMYFUNCTION("IMPORTRANGE(""https://docs.google.com/spreadsheets/d/1IYY_tgx_IHuhSq3AJ5eI5OnqOPBNLWSHKh2a30DoXe8/edit?usp=sharing"",""นครศรีธรรมราช!J137"")"),1)</f>
        <v>1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IFERROR(__xludf.DUMMYFUNCTION("IMPORTRANGE(""https://docs.google.com/spreadsheets/d/1IYY_tgx_IHuhSq3AJ5eI5OnqOPBNLWSHKh2a30DoXe8/edit?usp=sharing"",""นครศรีธรรมราช!I138"")"),100)</f>
        <v>100</v>
      </c>
      <c r="J213" s="210">
        <f ca="1">IFERROR(__xludf.DUMMYFUNCTION("IMPORTRANGE(""https://docs.google.com/spreadsheets/d/1IYY_tgx_IHuhSq3AJ5eI5OnqOPBNLWSHKh2a30DoXe8/edit?usp=sharing"",""นครศรีธรรมราช!J138"")"),102)</f>
        <v>102</v>
      </c>
      <c r="K213" s="230">
        <f ca="1">IF(I213&gt;0,J213*100/I213,0)</f>
        <v>102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IFERROR(__xludf.DUMMYFUNCTION("IMPORTRANGE(""https://docs.google.com/spreadsheets/d/1IYY_tgx_IHuhSq3AJ5eI5OnqOPBNLWSHKh2a30DoXe8/edit?usp=sharing"",""นครศรีธรรมราช!I140"")"),0)</f>
        <v>0</v>
      </c>
      <c r="J215" s="210">
        <f ca="1">IFERROR(__xludf.DUMMYFUNCTION("IMPORTRANGE(""https://docs.google.com/spreadsheets/d/1IYY_tgx_IHuhSq3AJ5eI5OnqOPBNLWSHKh2a30DoXe8/edit?usp=sharing"",""นครศรีธรรมราช!J140"")"),0)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IFERROR(__xludf.DUMMYFUNCTION("IMPORTRANGE(""https://docs.google.com/spreadsheets/d/1IYY_tgx_IHuhSq3AJ5eI5OnqOPBNLWSHKh2a30DoXe8/edit?usp=sharing"",""นครศรีธรรมราช!I141"")"),6)</f>
        <v>6</v>
      </c>
      <c r="J216" s="210">
        <f ca="1">IFERROR(__xludf.DUMMYFUNCTION("IMPORTRANGE(""https://docs.google.com/spreadsheets/d/1IYY_tgx_IHuhSq3AJ5eI5OnqOPBNLWSHKh2a30DoXe8/edit?usp=sharing"",""นครศรีธรรมราช!J141"")"),6)</f>
        <v>6</v>
      </c>
      <c r="K216" s="230">
        <f t="shared" ca="1" si="71"/>
        <v>100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IFERROR(__xludf.DUMMYFUNCTION("IMPORTRANGE(""https://docs.google.com/spreadsheets/d/1IYY_tgx_IHuhSq3AJ5eI5OnqOPBNLWSHKh2a30DoXe8/edit?usp=sharing"",""นครศรีธรรมราช!J142"")"),0)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IFERROR(__xludf.DUMMYFUNCTION("IMPORTRANGE(""https://docs.google.com/spreadsheets/d/1IYY_tgx_IHuhSq3AJ5eI5OnqOPBNLWSHKh2a30DoXe8/edit?usp=sharing"",""นครศรีธรรมราช!J143"")"),0)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IFERROR(__xludf.DUMMYFUNCTION("IMPORTRANGE(""https://docs.google.com/spreadsheets/d/1IYY_tgx_IHuhSq3AJ5eI5OnqOPBNLWSHKh2a30DoXe8/edit?usp=sharing"",""นครศรีธรรมราช!I144"")"),15)</f>
        <v>15</v>
      </c>
      <c r="J219" s="273">
        <f ca="1">IFERROR(__xludf.DUMMYFUNCTION("IMPORTRANGE(""https://docs.google.com/spreadsheets/d/1IYY_tgx_IHuhSq3AJ5eI5OnqOPBNLWSHKh2a30DoXe8/edit?usp=sharing"",""นครศรีธรรมราช!J144"")"),15)</f>
        <v>15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2" t="s">
        <v>17</v>
      </c>
      <c r="E220" s="573"/>
      <c r="F220" s="573"/>
      <c r="G220" s="573"/>
      <c r="H220" s="153" t="s">
        <v>12</v>
      </c>
      <c r="I220" s="166"/>
      <c r="J220" s="166"/>
      <c r="K220" s="167"/>
      <c r="L220" s="156">
        <f t="shared" ref="L220:N220" ca="1" si="72">L221+L222</f>
        <v>21125</v>
      </c>
      <c r="M220" s="156">
        <f t="shared" ca="1" si="72"/>
        <v>21125</v>
      </c>
      <c r="N220" s="156">
        <f t="shared" ca="1" si="72"/>
        <v>21125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21125</v>
      </c>
      <c r="M222" s="161">
        <f t="shared" ca="1" si="76"/>
        <v>21125</v>
      </c>
      <c r="N222" s="161">
        <f t="shared" ca="1" si="76"/>
        <v>21125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3">
      <c r="A223" s="162"/>
      <c r="B223" s="163"/>
      <c r="C223" s="163" t="s">
        <v>16</v>
      </c>
      <c r="D223" s="574" t="s">
        <v>20</v>
      </c>
      <c r="E223" s="575"/>
      <c r="F223" s="575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21125</v>
      </c>
      <c r="M224" s="173">
        <f ca="1">IFERROR(__xludf.DUMMYFUNCTION("IMPORTRANGE(""https://docs.google.com/spreadsheets/d/1Yj_ptqi66GCucihVvJfMjLAmec39IyEx_6qawtMGysU/edit?usp=sharing"",""สบก!BS84"")"),21125)</f>
        <v>21125</v>
      </c>
      <c r="N224" s="174">
        <f ca="1">IFERROR(__xludf.DUMMYFUNCTION("IMPORTRANGE(""https://docs.google.com/spreadsheets/d/1Yj_ptqi66GCucihVvJfMjLAmec39IyEx_6qawtMGysU/edit?usp=sharing"",""สบก!BT84"")"),21125)</f>
        <v>21125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IFERROR(__xludf.DUMMYFUNCTION("IMPORTRANGE(""https://docs.google.com/spreadsheets/d/1Yj_ptqi66GCucihVvJfMjLAmec39IyEx_6qawtMGysU/edit?usp=sharing"",""สบก!BO84"")"),0)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IFERROR(__xludf.DUMMYFUNCTION("IMPORTRANGE(""https://docs.google.com/spreadsheets/d/1Yj_ptqi66GCucihVvJfMjLAmec39IyEx_6qawtMGysU/edit?usp=sharing"",""สบก!BP84"")"),21125)</f>
        <v>21125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6" t="s">
        <v>23</v>
      </c>
      <c r="E227" s="575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IFERROR(__xludf.DUMMYFUNCTION("IMPORTRANGE(""https://docs.google.com/spreadsheets/d/1Yj_ptqi66GCucihVvJfMjLAmec39IyEx_6qawtMGysU/edit?usp=sharing"",""สบก!BQ84"")"),0)</f>
        <v>0</v>
      </c>
      <c r="M228" s="101"/>
      <c r="N228" s="91">
        <f ca="1">IFERROR(__xludf.DUMMYFUNCTION("IMPORTRANGE(""https://docs.google.com/spreadsheets/d/1Yj_ptqi66GCucihVvJfMjLAmec39IyEx_6qawtMGysU/edit?usp=sharing"",""สบก!BU84"")"),0)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IFERROR(__xludf.DUMMYFUNCTION("IMPORTRANGE(""https://docs.google.com/spreadsheets/d/1IYY_tgx_IHuhSq3AJ5eI5OnqOPBNLWSHKh2a30DoXe8/edit?usp=sharing"",""นครศรีธรรมราช!I149"")"),15)</f>
        <v>15</v>
      </c>
      <c r="J229" s="273">
        <f ca="1">IFERROR(__xludf.DUMMYFUNCTION("IMPORTRANGE(""https://docs.google.com/spreadsheets/d/1IYY_tgx_IHuhSq3AJ5eI5OnqOPBNLWSHKh2a30DoXe8/edit?usp=sharing"",""นครศรีธรรมราช!J149"")"),15)</f>
        <v>15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IFERROR(__xludf.DUMMYFUNCTION("IMPORTRANGE(""https://docs.google.com/spreadsheets/d/1IYY_tgx_IHuhSq3AJ5eI5OnqOPBNLWSHKh2a30DoXe8/edit?usp=sharing"",""นครศรีธรรมราช!J151"")"),0)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IFERROR(__xludf.DUMMYFUNCTION("IMPORTRANGE(""https://docs.google.com/spreadsheets/d/1IYY_tgx_IHuhSq3AJ5eI5OnqOPBNLWSHKh2a30DoXe8/edit?usp=sharing"",""นครศรีธรรมราช!J152"")"),1)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IFERROR(__xludf.DUMMYFUNCTION("IMPORTRANGE(""https://docs.google.com/spreadsheets/d/1IYY_tgx_IHuhSq3AJ5eI5OnqOPBNLWSHKh2a30DoXe8/edit?usp=sharing"",""นครศรีธรรมราช!J153"")"),1)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IFERROR(__xludf.DUMMYFUNCTION("IMPORTRANGE(""https://docs.google.com/spreadsheets/d/1IYY_tgx_IHuhSq3AJ5eI5OnqOPBNLWSHKh2a30DoXe8/edit?usp=sharing"",""นครศรีธรรมราช!J154"")"),1)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IFERROR(__xludf.DUMMYFUNCTION("IMPORTRANGE(""https://docs.google.com/spreadsheets/d/1IYY_tgx_IHuhSq3AJ5eI5OnqOPBNLWSHKh2a30DoXe8/edit?usp=sharing"",""นครศรีธรรมราช!I155"")"),15)</f>
        <v>15</v>
      </c>
      <c r="J235" s="195">
        <f ca="1">IFERROR(__xludf.DUMMYFUNCTION("IMPORTRANGE(""https://docs.google.com/spreadsheets/d/1IYY_tgx_IHuhSq3AJ5eI5OnqOPBNLWSHKh2a30DoXe8/edit?usp=sharing"",""นครศรีธรรมราช!J155"")"),15)</f>
        <v>15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IFERROR(__xludf.DUMMYFUNCTION("IMPORTRANGE(""https://docs.google.com/spreadsheets/d/1IYY_tgx_IHuhSq3AJ5eI5OnqOPBNLWSHKh2a30DoXe8/edit?usp=sharing"",""นครศรีธรรมราช!J156"")"),1)</f>
        <v>1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IFERROR(__xludf.DUMMYFUNCTION("IMPORTRANGE(""https://docs.google.com/spreadsheets/d/1IYY_tgx_IHuhSq3AJ5eI5OnqOPBNLWSHKh2a30DoXe8/edit?usp=sharing"",""นครศรีธรรมราช!J157"")"),0)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IFERROR(__xludf.DUMMYFUNCTION("IMPORTRANGE(""https://docs.google.com/spreadsheets/d/1IYY_tgx_IHuhSq3AJ5eI5OnqOPBNLWSHKh2a30DoXe8/edit?usp=sharing"",""นครศรีธรรมราช!I158"")"),0)</f>
        <v>0</v>
      </c>
      <c r="J238" s="273">
        <f ca="1">IFERROR(__xludf.DUMMYFUNCTION("IMPORTRANGE(""https://docs.google.com/spreadsheets/d/1IYY_tgx_IHuhSq3AJ5eI5OnqOPBNLWSHKh2a30DoXe8/edit?usp=sharing"",""นครศรีธรรมราช!J158"")"),0)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IFERROR(__xludf.DUMMYFUNCTION("IMPORTRANGE(""https://docs.google.com/spreadsheets/d/1IYY_tgx_IHuhSq3AJ5eI5OnqOPBNLWSHKh2a30DoXe8/edit?usp=sharing"",""นครศรีธรรมราช!J159"")"),"")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IFERROR(__xludf.DUMMYFUNCTION("IMPORTRANGE(""https://docs.google.com/spreadsheets/d/1IYY_tgx_IHuhSq3AJ5eI5OnqOPBNLWSHKh2a30DoXe8/edit?usp=sharing"",""นครศรีธรรมราช!J161"")"),0)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IFERROR(__xludf.DUMMYFUNCTION("IMPORTRANGE(""https://docs.google.com/spreadsheets/d/1IYY_tgx_IHuhSq3AJ5eI5OnqOPBNLWSHKh2a30DoXe8/edit?usp=sharing"",""นครศรีธรรมราช!J162"")"),0)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IFERROR(__xludf.DUMMYFUNCTION("IMPORTRANGE(""https://docs.google.com/spreadsheets/d/1IYY_tgx_IHuhSq3AJ5eI5OnqOPBNLWSHKh2a30DoXe8/edit?usp=sharing"",""นครศรีธรรมราช!J163"")"),0)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IFERROR(__xludf.DUMMYFUNCTION("IMPORTRANGE(""https://docs.google.com/spreadsheets/d/1IYY_tgx_IHuhSq3AJ5eI5OnqOPBNLWSHKh2a30DoXe8/edit?usp=sharing"",""นครศรีธรรมราช!I164"")"),0)</f>
        <v>0</v>
      </c>
      <c r="J244" s="194">
        <f ca="1">IFERROR(__xludf.DUMMYFUNCTION("IMPORTRANGE(""https://docs.google.com/spreadsheets/d/1IYY_tgx_IHuhSq3AJ5eI5OnqOPBNLWSHKh2a30DoXe8/edit?usp=sharing"",""นครศรีธรรมราช!J164"")"),0)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IFERROR(__xludf.DUMMYFUNCTION("IMPORTRANGE(""https://docs.google.com/spreadsheets/d/1IYY_tgx_IHuhSq3AJ5eI5OnqOPBNLWSHKh2a30DoXe8/edit?usp=sharing"",""นครศรีธรรมราช!J165"")"),0)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IFERROR(__xludf.DUMMYFUNCTION("IMPORTRANGE(""https://docs.google.com/spreadsheets/d/1IYY_tgx_IHuhSq3AJ5eI5OnqOPBNLWSHKh2a30DoXe8/edit?usp=sharing"",""นครศรีธรรมราช!J166"")"),0)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IFERROR(__xludf.DUMMYFUNCTION("IMPORTRANGE(""https://docs.google.com/spreadsheets/d/1IYY_tgx_IHuhSq3AJ5eI5OnqOPBNLWSHKh2a30DoXe8/edit?usp=sharing"",""นครศรีธรรมราช!I169"")"),0)</f>
        <v>0</v>
      </c>
      <c r="J249" s="322">
        <f ca="1">IFERROR(__xludf.DUMMYFUNCTION("IMPORTRANGE(""https://docs.google.com/spreadsheets/d/1IYY_tgx_IHuhSq3AJ5eI5OnqOPBNLWSHKh2a30DoXe8/edit?usp=sharing"",""นครศรีธรรมราช!J169"")"),0)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2" t="s">
        <v>17</v>
      </c>
      <c r="E250" s="573"/>
      <c r="F250" s="573"/>
      <c r="G250" s="573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3">
      <c r="A253" s="162"/>
      <c r="B253" s="163"/>
      <c r="C253" s="163" t="s">
        <v>16</v>
      </c>
      <c r="D253" s="574" t="s">
        <v>20</v>
      </c>
      <c r="E253" s="575"/>
      <c r="F253" s="575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IFERROR(__xludf.DUMMYFUNCTION("IMPORTRANGE(""https://docs.google.com/spreadsheets/d/1Yj_ptqi66GCucihVvJfMjLAmec39IyEx_6qawtMGysU/edit?usp=sharing"",""สบก!CB84"")"),0)</f>
        <v>0</v>
      </c>
      <c r="N254" s="174">
        <f ca="1">IFERROR(__xludf.DUMMYFUNCTION("IMPORTRANGE(""https://docs.google.com/spreadsheets/d/1Yj_ptqi66GCucihVvJfMjLAmec39IyEx_6qawtMGysU/edit?usp=sharing"",""สบก!CC84"")"),0)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IFERROR(__xludf.DUMMYFUNCTION("IMPORTRANGE(""https://docs.google.com/spreadsheets/d/1Yj_ptqi66GCucihVvJfMjLAmec39IyEx_6qawtMGysU/edit?usp=sharing"",""สบก!BX84"")"),0)</f>
        <v>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IFERROR(__xludf.DUMMYFUNCTION("IMPORTRANGE(""https://docs.google.com/spreadsheets/d/1Yj_ptqi66GCucihVvJfMjLAmec39IyEx_6qawtMGysU/edit?usp=sharing"",""สบก!BY84"")"),0)</f>
        <v>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6" t="s">
        <v>23</v>
      </c>
      <c r="E257" s="575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IFERROR(__xludf.DUMMYFUNCTION("IMPORTRANGE(""https://docs.google.com/spreadsheets/d/1Yj_ptqi66GCucihVvJfMjLAmec39IyEx_6qawtMGysU/edit?usp=sharing"",""สบก!BZ84"")"),0)</f>
        <v>0</v>
      </c>
      <c r="M258" s="101"/>
      <c r="N258" s="91">
        <f ca="1">IFERROR(__xludf.DUMMYFUNCTION("IMPORTRANGE(""https://docs.google.com/spreadsheets/d/1Yj_ptqi66GCucihVvJfMjLAmec39IyEx_6qawtMGysU/edit?usp=sharing"",""สบก!CD84"")"),0)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IFERROR(__xludf.DUMMYFUNCTION("IMPORTRANGE(""https://docs.google.com/spreadsheets/d/1IYY_tgx_IHuhSq3AJ5eI5OnqOPBNLWSHKh2a30DoXe8/edit?usp=sharing"",""นครศรีธรรมราช!J175"")"),0)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IFERROR(__xludf.DUMMYFUNCTION("IMPORTRANGE(""https://docs.google.com/spreadsheets/d/1IYY_tgx_IHuhSq3AJ5eI5OnqOPBNLWSHKh2a30DoXe8/edit?usp=sharing"",""นครศรีธรรมราช!J176"")"),0)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IFERROR(__xludf.DUMMYFUNCTION("IMPORTRANGE(""https://docs.google.com/spreadsheets/d/1IYY_tgx_IHuhSq3AJ5eI5OnqOPBNLWSHKh2a30DoXe8/edit?usp=sharing"",""นครศรีธรรมราช!J177"")"),0)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IFERROR(__xludf.DUMMYFUNCTION("IMPORTRANGE(""https://docs.google.com/spreadsheets/d/1IYY_tgx_IHuhSq3AJ5eI5OnqOPBNLWSHKh2a30DoXe8/edit?usp=sharing"",""นครศรีธรรมราช!J178"")"),0)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IFERROR(__xludf.DUMMYFUNCTION("IMPORTRANGE(""https://docs.google.com/spreadsheets/d/1IYY_tgx_IHuhSq3AJ5eI5OnqOPBNLWSHKh2a30DoXe8/edit?usp=sharing"",""นครศรีธรรมราช!I179"")"),0)</f>
        <v>0</v>
      </c>
      <c r="J264" s="195">
        <f ca="1">IFERROR(__xludf.DUMMYFUNCTION("IMPORTRANGE(""https://docs.google.com/spreadsheets/d/1IYY_tgx_IHuhSq3AJ5eI5OnqOPBNLWSHKh2a30DoXe8/edit?usp=sharing"",""นครศรีธรรมราช!J179"")"),0)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IFERROR(__xludf.DUMMYFUNCTION("IMPORTRANGE(""https://docs.google.com/spreadsheets/d/1IYY_tgx_IHuhSq3AJ5eI5OnqOPBNLWSHKh2a30DoXe8/edit?usp=sharing"",""นครศรีธรรมราช!I180"")"),0)</f>
        <v>0</v>
      </c>
      <c r="J265" s="195">
        <f ca="1">IFERROR(__xludf.DUMMYFUNCTION("IMPORTRANGE(""https://docs.google.com/spreadsheets/d/1IYY_tgx_IHuhSq3AJ5eI5OnqOPBNLWSHKh2a30DoXe8/edit?usp=sharing"",""นครศรีธรรมราช!J180"")"),0)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IFERROR(__xludf.DUMMYFUNCTION("IMPORTRANGE(""https://docs.google.com/spreadsheets/d/1IYY_tgx_IHuhSq3AJ5eI5OnqOPBNLWSHKh2a30DoXe8/edit?usp=sharing"",""นครศรีธรรมราช!I181"")"),0)</f>
        <v>0</v>
      </c>
      <c r="J266" s="195">
        <f ca="1">IFERROR(__xludf.DUMMYFUNCTION("IMPORTRANGE(""https://docs.google.com/spreadsheets/d/1IYY_tgx_IHuhSq3AJ5eI5OnqOPBNLWSHKh2a30DoXe8/edit?usp=sharing"",""นครศรีธรรมราช!J181"")"),0)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IFERROR(__xludf.DUMMYFUNCTION("IMPORTRANGE(""https://docs.google.com/spreadsheets/d/1IYY_tgx_IHuhSq3AJ5eI5OnqOPBNLWSHKh2a30DoXe8/edit?usp=sharing"",""นครศรีธรรมราช!I182"")"),0)</f>
        <v>0</v>
      </c>
      <c r="J267" s="195">
        <f ca="1">IFERROR(__xludf.DUMMYFUNCTION("IMPORTRANGE(""https://docs.google.com/spreadsheets/d/1IYY_tgx_IHuhSq3AJ5eI5OnqOPBNLWSHKh2a30DoXe8/edit?usp=sharing"",""นครศรีธรรมราช!J182"")"),0)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IFERROR(__xludf.DUMMYFUNCTION("IMPORTRANGE(""https://docs.google.com/spreadsheets/d/1IYY_tgx_IHuhSq3AJ5eI5OnqOPBNLWSHKh2a30DoXe8/edit?usp=sharing"",""นครศรีธรรมราช!J183"")"),0)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IFERROR(__xludf.DUMMYFUNCTION("IMPORTRANGE(""https://docs.google.com/spreadsheets/d/1IYY_tgx_IHuhSq3AJ5eI5OnqOPBNLWSHKh2a30DoXe8/edit?usp=sharing"",""นครศรีธรรมราช!J184"")"),0)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IFERROR(__xludf.DUMMYFUNCTION("IMPORTRANGE(""https://docs.google.com/spreadsheets/d/1IYY_tgx_IHuhSq3AJ5eI5OnqOPBNLWSHKh2a30DoXe8/edit?usp=sharing"",""นครศรีธรรมราช!I185"")"),0)</f>
        <v>0</v>
      </c>
      <c r="J270" s="322">
        <f ca="1">IFERROR(__xludf.DUMMYFUNCTION("IMPORTRANGE(""https://docs.google.com/spreadsheets/d/1IYY_tgx_IHuhSq3AJ5eI5OnqOPBNLWSHKh2a30DoXe8/edit?usp=sharing"",""นครศรีธรรมราช!J185"")"),0)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2" t="s">
        <v>17</v>
      </c>
      <c r="E271" s="573"/>
      <c r="F271" s="573"/>
      <c r="G271" s="573"/>
      <c r="H271" s="153" t="s">
        <v>12</v>
      </c>
      <c r="I271" s="166"/>
      <c r="J271" s="166"/>
      <c r="K271" s="167"/>
      <c r="L271" s="156">
        <f t="shared" ref="L271:N271" ca="1" si="83">L272+L273</f>
        <v>0</v>
      </c>
      <c r="M271" s="156">
        <f t="shared" ca="1" si="83"/>
        <v>0</v>
      </c>
      <c r="N271" s="156">
        <f t="shared" ca="1" si="83"/>
        <v>0</v>
      </c>
      <c r="O271" s="155">
        <f t="shared" ref="O271:O273" ca="1" si="84">IF(L271&gt;0,N271*100/L271,0)</f>
        <v>0</v>
      </c>
      <c r="P271" s="155">
        <f t="shared" ref="P271:P273" ca="1" si="85">IF(M271&gt;0,N271*100/M271,0)</f>
        <v>0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0</v>
      </c>
      <c r="M273" s="161">
        <f t="shared" ca="1" si="87"/>
        <v>0</v>
      </c>
      <c r="N273" s="161">
        <f t="shared" ca="1" si="87"/>
        <v>0</v>
      </c>
      <c r="O273" s="160">
        <f t="shared" ca="1" si="84"/>
        <v>0</v>
      </c>
      <c r="P273" s="160">
        <f t="shared" ca="1" si="85"/>
        <v>0</v>
      </c>
    </row>
    <row r="274" spans="1:16" ht="21.75" customHeight="1" x14ac:dyDescent="0.3">
      <c r="A274" s="162"/>
      <c r="B274" s="163"/>
      <c r="C274" s="163" t="s">
        <v>16</v>
      </c>
      <c r="D274" s="574" t="s">
        <v>20</v>
      </c>
      <c r="E274" s="575"/>
      <c r="F274" s="575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0</v>
      </c>
      <c r="M275" s="173">
        <f ca="1">IFERROR(__xludf.DUMMYFUNCTION("IMPORTRANGE(""https://docs.google.com/spreadsheets/d/1Yj_ptqi66GCucihVvJfMjLAmec39IyEx_6qawtMGysU/edit?usp=sharing"",""สบก!CK84"")"),0)</f>
        <v>0</v>
      </c>
      <c r="N275" s="174">
        <f ca="1">IFERROR(__xludf.DUMMYFUNCTION("IMPORTRANGE(""https://docs.google.com/spreadsheets/d/1Yj_ptqi66GCucihVvJfMjLAmec39IyEx_6qawtMGysU/edit?usp=sharing"",""สบก!CL84"")"),0)</f>
        <v>0</v>
      </c>
      <c r="O275" s="175">
        <f ca="1">IF(L275&gt;0,N275*100/L275,0)</f>
        <v>0</v>
      </c>
      <c r="P275" s="175">
        <f ca="1">IF(M275&gt;0,N275*100/M275,0)</f>
        <v>0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IFERROR(__xludf.DUMMYFUNCTION("IMPORTRANGE(""https://docs.google.com/spreadsheets/d/1Yj_ptqi66GCucihVvJfMjLAmec39IyEx_6qawtMGysU/edit?usp=sharing"",""สบก!CG84"")"),0)</f>
        <v>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IFERROR(__xludf.DUMMYFUNCTION("IMPORTRANGE(""https://docs.google.com/spreadsheets/d/1Yj_ptqi66GCucihVvJfMjLAmec39IyEx_6qawtMGysU/edit?usp=sharing"",""สบก!CH84"")"),0)</f>
        <v>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6" t="s">
        <v>23</v>
      </c>
      <c r="E278" s="575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IFERROR(__xludf.DUMMYFUNCTION("IMPORTRANGE(""https://docs.google.com/spreadsheets/d/1Yj_ptqi66GCucihVvJfMjLAmec39IyEx_6qawtMGysU/edit?usp=sharing"",""สบก!CI84"")"),0)</f>
        <v>0</v>
      </c>
      <c r="M279" s="101"/>
      <c r="N279" s="91">
        <f ca="1">IFERROR(__xludf.DUMMYFUNCTION("IMPORTRANGE(""https://docs.google.com/spreadsheets/d/1Yj_ptqi66GCucihVvJfMjLAmec39IyEx_6qawtMGysU/edit?usp=sharing"",""สบก!CM84"")"),0)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IFERROR(__xludf.DUMMYFUNCTION("IMPORTRANGE(""https://docs.google.com/spreadsheets/d/1IYY_tgx_IHuhSq3AJ5eI5OnqOPBNLWSHKh2a30DoXe8/edit?usp=sharing"",""นครศรีธรรมราช!J191"")"),0)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IFERROR(__xludf.DUMMYFUNCTION("IMPORTRANGE(""https://docs.google.com/spreadsheets/d/1IYY_tgx_IHuhSq3AJ5eI5OnqOPBNLWSHKh2a30DoXe8/edit?usp=sharing"",""นครศรีธรรมราช!J192"")"),0)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IFERROR(__xludf.DUMMYFUNCTION("IMPORTRANGE(""https://docs.google.com/spreadsheets/d/1IYY_tgx_IHuhSq3AJ5eI5OnqOPBNLWSHKh2a30DoXe8/edit?usp=sharing"",""นครศรีธรรมราช!J193"")"),0)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IFERROR(__xludf.DUMMYFUNCTION("IMPORTRANGE(""https://docs.google.com/spreadsheets/d/1IYY_tgx_IHuhSq3AJ5eI5OnqOPBNLWSHKh2a30DoXe8/edit?usp=sharing"",""นครศรีธรรมราช!J194"")"),0)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IFERROR(__xludf.DUMMYFUNCTION("IMPORTRANGE(""https://docs.google.com/spreadsheets/d/1IYY_tgx_IHuhSq3AJ5eI5OnqOPBNLWSHKh2a30DoXe8/edit?usp=sharing"",""นครศรีธรรมราช!I195"")"),0)</f>
        <v>0</v>
      </c>
      <c r="J285" s="195">
        <f ca="1">IFERROR(__xludf.DUMMYFUNCTION("IMPORTRANGE(""https://docs.google.com/spreadsheets/d/1IYY_tgx_IHuhSq3AJ5eI5OnqOPBNLWSHKh2a30DoXe8/edit?usp=sharing"",""นครศรีธรรมราช!J195"")"),0)</f>
        <v>0</v>
      </c>
      <c r="K285" s="167">
        <f ca="1">IF(I285&gt;0,J285*100/I285,0)</f>
        <v>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IFERROR(__xludf.DUMMYFUNCTION("IMPORTRANGE(""https://docs.google.com/spreadsheets/d/1IYY_tgx_IHuhSq3AJ5eI5OnqOPBNLWSHKh2a30DoXe8/edit?usp=sharing"",""นครศรีธรรมราช!J196"")"),0)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IFERROR(__xludf.DUMMYFUNCTION("IMPORTRANGE(""https://docs.google.com/spreadsheets/d/1IYY_tgx_IHuhSq3AJ5eI5OnqOPBNLWSHKh2a30DoXe8/edit?usp=sharing"",""นครศรีธรรมราช!J197"")"),0)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IFERROR(__xludf.DUMMYFUNCTION("IMPORTRANGE(""https://docs.google.com/spreadsheets/d/1IYY_tgx_IHuhSq3AJ5eI5OnqOPBNLWSHKh2a30DoXe8/edit?usp=sharing"",""นครศรีธรรมราช!I199"")"),0)</f>
        <v>0</v>
      </c>
      <c r="J289" s="322">
        <f ca="1">IFERROR(__xludf.DUMMYFUNCTION("IMPORTRANGE(""https://docs.google.com/spreadsheets/d/1IYY_tgx_IHuhSq3AJ5eI5OnqOPBNLWSHKh2a30DoXe8/edit?usp=sharing"",""นครศรีธรรมราช!J199"")"),0)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2" t="s">
        <v>17</v>
      </c>
      <c r="E290" s="573"/>
      <c r="F290" s="573"/>
      <c r="G290" s="573"/>
      <c r="H290" s="153" t="s">
        <v>12</v>
      </c>
      <c r="I290" s="194"/>
      <c r="J290" s="194"/>
      <c r="K290" s="230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3">
      <c r="A293" s="162"/>
      <c r="B293" s="163"/>
      <c r="C293" s="163" t="s">
        <v>16</v>
      </c>
      <c r="D293" s="574" t="s">
        <v>20</v>
      </c>
      <c r="E293" s="575"/>
      <c r="F293" s="575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IFERROR(__xludf.DUMMYFUNCTION("IMPORTRANGE(""https://docs.google.com/spreadsheets/d/1Yj_ptqi66GCucihVvJfMjLAmec39IyEx_6qawtMGysU/edit?usp=sharing"",""สบก!CT84"")"),0)</f>
        <v>0</v>
      </c>
      <c r="N294" s="174">
        <f ca="1">IFERROR(__xludf.DUMMYFUNCTION("IMPORTRANGE(""https://docs.google.com/spreadsheets/d/1Yj_ptqi66GCucihVvJfMjLAmec39IyEx_6qawtMGysU/edit?usp=sharing"",""สบก!CU84"")"),0)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IFERROR(__xludf.DUMMYFUNCTION("IMPORTRANGE(""https://docs.google.com/spreadsheets/d/1Yj_ptqi66GCucihVvJfMjLAmec39IyEx_6qawtMGysU/edit?usp=sharing"",""สบก!CP84"")"),0)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IFERROR(__xludf.DUMMYFUNCTION("IMPORTRANGE(""https://docs.google.com/spreadsheets/d/1Yj_ptqi66GCucihVvJfMjLAmec39IyEx_6qawtMGysU/edit?usp=sharing"",""สบก!CQ84"")"),0)</f>
        <v>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6" t="s">
        <v>23</v>
      </c>
      <c r="E297" s="575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IFERROR(__xludf.DUMMYFUNCTION("IMPORTRANGE(""https://docs.google.com/spreadsheets/d/1Yj_ptqi66GCucihVvJfMjLAmec39IyEx_6qawtMGysU/edit?usp=sharing"",""สบก!CR84"")"),0)</f>
        <v>0</v>
      </c>
      <c r="M298" s="101"/>
      <c r="N298" s="91">
        <f ca="1">IFERROR(__xludf.DUMMYFUNCTION("IMPORTRANGE(""https://docs.google.com/spreadsheets/d/1Yj_ptqi66GCucihVvJfMjLAmec39IyEx_6qawtMGysU/edit?usp=sharing"",""สบก!CV84"")"),0)</f>
        <v>0</v>
      </c>
      <c r="O298" s="101">
        <f ca="1">IF(L298&gt;0,N298*100/L298,0)</f>
        <v>0</v>
      </c>
      <c r="P298" s="101"/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IFERROR(__xludf.DUMMYFUNCTION("IMPORTRANGE(""https://docs.google.com/spreadsheets/d/1IYY_tgx_IHuhSq3AJ5eI5OnqOPBNLWSHKh2a30DoXe8/edit?usp=sharing"",""นครศรีธรรมราช!J205"")"),0)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IFERROR(__xludf.DUMMYFUNCTION("IMPORTRANGE(""https://docs.google.com/spreadsheets/d/1IYY_tgx_IHuhSq3AJ5eI5OnqOPBNLWSHKh2a30DoXe8/edit?usp=sharing"",""นครศรีธรรมราช!J206"")"),0)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IFERROR(__xludf.DUMMYFUNCTION("IMPORTRANGE(""https://docs.google.com/spreadsheets/d/1IYY_tgx_IHuhSq3AJ5eI5OnqOPBNLWSHKh2a30DoXe8/edit?usp=sharing"",""นครศรีธรรมราช!J207"")"),0)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IFERROR(__xludf.DUMMYFUNCTION("IMPORTRANGE(""https://docs.google.com/spreadsheets/d/1IYY_tgx_IHuhSq3AJ5eI5OnqOPBNLWSHKh2a30DoXe8/edit?usp=sharing"",""นครศรีธรรมราช!J208"")"),0)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IFERROR(__xludf.DUMMYFUNCTION("IMPORTRANGE(""https://docs.google.com/spreadsheets/d/1IYY_tgx_IHuhSq3AJ5eI5OnqOPBNLWSHKh2a30DoXe8/edit?usp=sharing"",""นครศรีธรรมราช!I209"")"),0)</f>
        <v>0</v>
      </c>
      <c r="J304" s="210">
        <f ca="1">IFERROR(__xludf.DUMMYFUNCTION("IMPORTRANGE(""https://docs.google.com/spreadsheets/d/1IYY_tgx_IHuhSq3AJ5eI5OnqOPBNLWSHKh2a30DoXe8/edit?usp=sharing"",""นครศรีธรรมราช!J209"")"),0)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IFERROR(__xludf.DUMMYFUNCTION("IMPORTRANGE(""https://docs.google.com/spreadsheets/d/1IYY_tgx_IHuhSq3AJ5eI5OnqOPBNLWSHKh2a30DoXe8/edit?usp=sharing"",""นครศรีธรรมราช!I211"")"),0)</f>
        <v>0</v>
      </c>
      <c r="J306" s="210">
        <f ca="1">IFERROR(__xludf.DUMMYFUNCTION("IMPORTRANGE(""https://docs.google.com/spreadsheets/d/1IYY_tgx_IHuhSq3AJ5eI5OnqOPBNLWSHKh2a30DoXe8/edit?usp=sharing"",""นครศรีธรรมราช!J211"")"),0)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IFERROR(__xludf.DUMMYFUNCTION("IMPORTRANGE(""https://docs.google.com/spreadsheets/d/1IYY_tgx_IHuhSq3AJ5eI5OnqOPBNLWSHKh2a30DoXe8/edit?usp=sharing"",""นครศรีธรรมราช!J212"")"),0)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IFERROR(__xludf.DUMMYFUNCTION("IMPORTRANGE(""https://docs.google.com/spreadsheets/d/1IYY_tgx_IHuhSq3AJ5eI5OnqOPBNLWSHKh2a30DoXe8/edit?usp=sharing"",""นครศรีธรรมราช!J213"")"),0)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IFERROR(__xludf.DUMMYFUNCTION("IMPORTRANGE(""https://docs.google.com/spreadsheets/d/1IYY_tgx_IHuhSq3AJ5eI5OnqOPBNLWSHKh2a30DoXe8/edit?usp=sharing"",""นครศรีธรรมราช!I214"")"),0)</f>
        <v>0</v>
      </c>
      <c r="J309" s="339">
        <f ca="1">IFERROR(__xludf.DUMMYFUNCTION("IMPORTRANGE(""https://docs.google.com/spreadsheets/d/1IYY_tgx_IHuhSq3AJ5eI5OnqOPBNLWSHKh2a30DoXe8/edit?usp=sharing"",""นครศรีธรรมราช!J214"")"),0)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2" t="s">
        <v>17</v>
      </c>
      <c r="E310" s="573"/>
      <c r="F310" s="573"/>
      <c r="G310" s="573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3">
      <c r="A313" s="162"/>
      <c r="B313" s="163"/>
      <c r="C313" s="163" t="s">
        <v>16</v>
      </c>
      <c r="D313" s="574" t="s">
        <v>20</v>
      </c>
      <c r="E313" s="575"/>
      <c r="F313" s="575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IFERROR(__xludf.DUMMYFUNCTION("IMPORTRANGE(""https://docs.google.com/spreadsheets/d/1Yj_ptqi66GCucihVvJfMjLAmec39IyEx_6qawtMGysU/edit?usp=sharing"",""สบก!DC84"")"),0)</f>
        <v>0</v>
      </c>
      <c r="N314" s="174">
        <f ca="1">IFERROR(__xludf.DUMMYFUNCTION("IMPORTRANGE(""https://docs.google.com/spreadsheets/d/1Yj_ptqi66GCucihVvJfMjLAmec39IyEx_6qawtMGysU/edit?usp=sharing"",""สบก!DD84"")"),0)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IFERROR(__xludf.DUMMYFUNCTION("IMPORTRANGE(""https://docs.google.com/spreadsheets/d/1Yj_ptqi66GCucihVvJfMjLAmec39IyEx_6qawtMGysU/edit?usp=sharing"",""สบก!CY84"")"),0)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IFERROR(__xludf.DUMMYFUNCTION("IMPORTRANGE(""https://docs.google.com/spreadsheets/d/1Yj_ptqi66GCucihVvJfMjLAmec39IyEx_6qawtMGysU/edit?usp=sharing"",""สบก!CZ84"")"),0)</f>
        <v>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6" t="s">
        <v>23</v>
      </c>
      <c r="E317" s="575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IFERROR(__xludf.DUMMYFUNCTION("IMPORTRANGE(""https://docs.google.com/spreadsheets/d/1Yj_ptqi66GCucihVvJfMjLAmec39IyEx_6qawtMGysU/edit?usp=sharing"",""สบก!DA84"")"),0)</f>
        <v>0</v>
      </c>
      <c r="M318" s="101"/>
      <c r="N318" s="91">
        <f ca="1">IFERROR(__xludf.DUMMYFUNCTION("IMPORTRANGE(""https://docs.google.com/spreadsheets/d/1Yj_ptqi66GCucihVvJfMjLAmec39IyEx_6qawtMGysU/edit?usp=sharing"",""สบก!DE84"")"),0)</f>
        <v>0</v>
      </c>
      <c r="O318" s="101">
        <f ca="1">IF(L318&gt;0,N318*100/L318,0)</f>
        <v>0</v>
      </c>
      <c r="P318" s="101"/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IFERROR(__xludf.DUMMYFUNCTION("IMPORTRANGE(""https://docs.google.com/spreadsheets/d/1IYY_tgx_IHuhSq3AJ5eI5OnqOPBNLWSHKh2a30DoXe8/edit?usp=sharing"",""นครศรีธรรมราช!J220"")"),0)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IFERROR(__xludf.DUMMYFUNCTION("IMPORTRANGE(""https://docs.google.com/spreadsheets/d/1IYY_tgx_IHuhSq3AJ5eI5OnqOPBNLWSHKh2a30DoXe8/edit?usp=sharing"",""นครศรีธรรมราช!J221"")"),0)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IFERROR(__xludf.DUMMYFUNCTION("IMPORTRANGE(""https://docs.google.com/spreadsheets/d/1IYY_tgx_IHuhSq3AJ5eI5OnqOPBNLWSHKh2a30DoXe8/edit?usp=sharing"",""นครศรีธรรมราช!J222"")"),0)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IFERROR(__xludf.DUMMYFUNCTION("IMPORTRANGE(""https://docs.google.com/spreadsheets/d/1IYY_tgx_IHuhSq3AJ5eI5OnqOPBNLWSHKh2a30DoXe8/edit?usp=sharing"",""นครศรีธรรมราช!J223"")"),0)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IFERROR(__xludf.DUMMYFUNCTION("IMPORTRANGE(""https://docs.google.com/spreadsheets/d/1IYY_tgx_IHuhSq3AJ5eI5OnqOPBNLWSHKh2a30DoXe8/edit?usp=sharing"",""นครศรีธรรมราช!I224"")"),0)</f>
        <v>0</v>
      </c>
      <c r="J324" s="210">
        <f ca="1">IFERROR(__xludf.DUMMYFUNCTION("IMPORTRANGE(""https://docs.google.com/spreadsheets/d/1IYY_tgx_IHuhSq3AJ5eI5OnqOPBNLWSHKh2a30DoXe8/edit?usp=sharing"",""นครศรีธรรมราช!J224"")"),0)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IFERROR(__xludf.DUMMYFUNCTION("IMPORTRANGE(""https://docs.google.com/spreadsheets/d/1IYY_tgx_IHuhSq3AJ5eI5OnqOPBNLWSHKh2a30DoXe8/edit?usp=sharing"",""นครศรีธรรมราช!J225"")"),0)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IFERROR(__xludf.DUMMYFUNCTION("IMPORTRANGE(""https://docs.google.com/spreadsheets/d/1IYY_tgx_IHuhSq3AJ5eI5OnqOPBNLWSHKh2a30DoXe8/edit?usp=sharing"",""นครศรีธรรมราช!J226"")"),0)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IFERROR(__xludf.DUMMYFUNCTION("IMPORTRANGE(""https://docs.google.com/spreadsheets/d/1IYY_tgx_IHuhSq3AJ5eI5OnqOPBNLWSHKh2a30DoXe8/edit?usp=sharing"",""นครศรีธรรมราช!I228"")"),650)</f>
        <v>650</v>
      </c>
      <c r="J328" s="345">
        <f ca="1">IFERROR(__xludf.DUMMYFUNCTION("IMPORTRANGE(""https://docs.google.com/spreadsheets/d/1IYY_tgx_IHuhSq3AJ5eI5OnqOPBNLWSHKh2a30DoXe8/edit?usp=sharing"",""นครศรีธรรมราช!J228"")"),540)</f>
        <v>540</v>
      </c>
      <c r="K328" s="323">
        <f ca="1">IF(I328&gt;0,J328*100/I328,0)</f>
        <v>83.07692307692308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2" t="s">
        <v>17</v>
      </c>
      <c r="E329" s="573"/>
      <c r="F329" s="573"/>
      <c r="G329" s="573"/>
      <c r="H329" s="153" t="s">
        <v>12</v>
      </c>
      <c r="I329" s="166"/>
      <c r="J329" s="166"/>
      <c r="K329" s="167"/>
      <c r="L329" s="156">
        <f t="shared" ref="L329:N329" ca="1" si="98">L330+L331</f>
        <v>1013740</v>
      </c>
      <c r="M329" s="156">
        <f t="shared" ca="1" si="98"/>
        <v>1013740</v>
      </c>
      <c r="N329" s="156">
        <f t="shared" ca="1" si="98"/>
        <v>846208.71</v>
      </c>
      <c r="O329" s="155">
        <f t="shared" ref="O329:O331" ca="1" si="99">IF(L329&gt;0,N329*100/L329,0)</f>
        <v>83.473939077080914</v>
      </c>
      <c r="P329" s="155">
        <f t="shared" ref="P329:P331" ca="1" si="100">IF(M329&gt;0,N329*100/M329,0)</f>
        <v>83.473939077080914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1013740</v>
      </c>
      <c r="M331" s="161">
        <f t="shared" ca="1" si="102"/>
        <v>1013740</v>
      </c>
      <c r="N331" s="161">
        <f t="shared" ca="1" si="102"/>
        <v>846208.71</v>
      </c>
      <c r="O331" s="160">
        <f t="shared" ca="1" si="99"/>
        <v>83.473939077080914</v>
      </c>
      <c r="P331" s="160">
        <f t="shared" ca="1" si="100"/>
        <v>83.473939077080914</v>
      </c>
    </row>
    <row r="332" spans="1:16" ht="21.75" customHeight="1" x14ac:dyDescent="0.3">
      <c r="A332" s="162"/>
      <c r="B332" s="163"/>
      <c r="C332" s="163" t="s">
        <v>16</v>
      </c>
      <c r="D332" s="574" t="s">
        <v>20</v>
      </c>
      <c r="E332" s="575"/>
      <c r="F332" s="575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1000240</v>
      </c>
      <c r="M333" s="173">
        <f ca="1">IFERROR(__xludf.DUMMYFUNCTION("IMPORTRANGE(""https://docs.google.com/spreadsheets/d/1Yj_ptqi66GCucihVvJfMjLAmec39IyEx_6qawtMGysU/edit?usp=sharing"",""สบก!DL84"")"),1000240)</f>
        <v>1000240</v>
      </c>
      <c r="N333" s="174">
        <f ca="1">IFERROR(__xludf.DUMMYFUNCTION("IMPORTRANGE(""https://docs.google.com/spreadsheets/d/1Yj_ptqi66GCucihVvJfMjLAmec39IyEx_6qawtMGysU/edit?usp=sharing"",""สบก!DM84"")"),832708.71)</f>
        <v>832708.71</v>
      </c>
      <c r="O333" s="175">
        <f ca="1">IF(L333&gt;0,N333*100/L333,0)</f>
        <v>83.250890786211315</v>
      </c>
      <c r="P333" s="175">
        <f ca="1">IF(M333&gt;0,N333*100/M333,0)</f>
        <v>83.250890786211315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IFERROR(__xludf.DUMMYFUNCTION("IMPORTRANGE(""https://docs.google.com/spreadsheets/d/1Yj_ptqi66GCucihVvJfMjLAmec39IyEx_6qawtMGysU/edit?usp=sharing"",""สบก!DH84"")"),194400)</f>
        <v>194400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IFERROR(__xludf.DUMMYFUNCTION("IMPORTRANGE(""https://docs.google.com/spreadsheets/d/1Yj_ptqi66GCucihVvJfMjLAmec39IyEx_6qawtMGysU/edit?usp=sharing"",""สบก!DI84"")"),805840)</f>
        <v>805840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6" t="s">
        <v>23</v>
      </c>
      <c r="E336" s="575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IFERROR(__xludf.DUMMYFUNCTION("IMPORTRANGE(""https://docs.google.com/spreadsheets/d/1Yj_ptqi66GCucihVvJfMjLAmec39IyEx_6qawtMGysU/edit?usp=sharing"",""สบก!DJ84"")"),13500)</f>
        <v>13500</v>
      </c>
      <c r="M337" s="101">
        <f ca="1">L337</f>
        <v>13500</v>
      </c>
      <c r="N337" s="91">
        <f ca="1">IFERROR(__xludf.DUMMYFUNCTION("IMPORTRANGE(""https://docs.google.com/spreadsheets/d/1Yj_ptqi66GCucihVvJfMjLAmec39IyEx_6qawtMGysU/edit?usp=sharing"",""สบก!DN84"")"),13500)</f>
        <v>13500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IFERROR(__xludf.DUMMYFUNCTION("IMPORTRANGE(""https://docs.google.com/spreadsheets/d/1IYY_tgx_IHuhSq3AJ5eI5OnqOPBNLWSHKh2a30DoXe8/edit?usp=sharing"",""นครศรีธรรมราช!I234"")"),0)</f>
        <v>0</v>
      </c>
      <c r="J339" s="194">
        <f ca="1">IFERROR(__xludf.DUMMYFUNCTION("IMPORTRANGE(""https://docs.google.com/spreadsheets/d/1IYY_tgx_IHuhSq3AJ5eI5OnqOPBNLWSHKh2a30DoXe8/edit?usp=sharing"",""นครศรีธรรมราช!J234"")"),425)</f>
        <v>425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IFERROR(__xludf.DUMMYFUNCTION("IMPORTRANGE(""https://docs.google.com/spreadsheets/d/1IYY_tgx_IHuhSq3AJ5eI5OnqOPBNLWSHKh2a30DoXe8/edit?usp=sharing"",""นครศรีธรรมราช!I235"")"),3500)</f>
        <v>3500</v>
      </c>
      <c r="J340" s="194">
        <f ca="1">IFERROR(__xludf.DUMMYFUNCTION("IMPORTRANGE(""https://docs.google.com/spreadsheets/d/1IYY_tgx_IHuhSq3AJ5eI5OnqOPBNLWSHKh2a30DoXe8/edit?usp=sharing"",""นครศรีธรรมราช!J235"")"),3030.77999999999)</f>
        <v>3030.7799999999902</v>
      </c>
      <c r="K340" s="348">
        <f t="shared" ca="1" si="103"/>
        <v>86.593714285714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IFERROR(__xludf.DUMMYFUNCTION("IMPORTRANGE(""https://docs.google.com/spreadsheets/d/1IYY_tgx_IHuhSq3AJ5eI5OnqOPBNLWSHKh2a30DoXe8/edit?usp=sharing"",""นครศรีธรรมราช!I236"")"),650)</f>
        <v>650</v>
      </c>
      <c r="J341" s="194">
        <f ca="1">IFERROR(__xludf.DUMMYFUNCTION("IMPORTRANGE(""https://docs.google.com/spreadsheets/d/1IYY_tgx_IHuhSq3AJ5eI5OnqOPBNLWSHKh2a30DoXe8/edit?usp=sharing"",""นครศรีธรรมราช!J236"")"),734)</f>
        <v>734</v>
      </c>
      <c r="K341" s="348">
        <f t="shared" ca="1" si="103"/>
        <v>112.92307692307692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IFERROR(__xludf.DUMMYFUNCTION("IMPORTRANGE(""https://docs.google.com/spreadsheets/d/1IYY_tgx_IHuhSq3AJ5eI5OnqOPBNLWSHKh2a30DoXe8/edit?usp=sharing"",""นครศรีธรรมราช!I237"")"),0)</f>
        <v>0</v>
      </c>
      <c r="J342" s="194">
        <f ca="1">IFERROR(__xludf.DUMMYFUNCTION("IMPORTRANGE(""https://docs.google.com/spreadsheets/d/1IYY_tgx_IHuhSq3AJ5eI5OnqOPBNLWSHKh2a30DoXe8/edit?usp=sharing"",""นครศรีธรรมราช!J237"")"),6493.96999999999)</f>
        <v>6493.9699999999903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IFERROR(__xludf.DUMMYFUNCTION("IMPORTRANGE(""https://docs.google.com/spreadsheets/d/1IYY_tgx_IHuhSq3AJ5eI5OnqOPBNLWSHKh2a30DoXe8/edit?usp=sharing"",""นครศรีธรรมราช!I238"")"),650)</f>
        <v>650</v>
      </c>
      <c r="J343" s="194">
        <f ca="1">IFERROR(__xludf.DUMMYFUNCTION("IMPORTRANGE(""https://docs.google.com/spreadsheets/d/1IYY_tgx_IHuhSq3AJ5eI5OnqOPBNLWSHKh2a30DoXe8/edit?usp=sharing"",""นครศรีธรรมราช!J238"")"),0)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IFERROR(__xludf.DUMMYFUNCTION("IMPORTRANGE(""https://docs.google.com/spreadsheets/d/1IYY_tgx_IHuhSq3AJ5eI5OnqOPBNLWSHKh2a30DoXe8/edit?usp=sharing"",""นครศรีธรรมราช!I239"")"),0)</f>
        <v>0</v>
      </c>
      <c r="J344" s="194">
        <f ca="1">IFERROR(__xludf.DUMMYFUNCTION("IMPORTRANGE(""https://docs.google.com/spreadsheets/d/1IYY_tgx_IHuhSq3AJ5eI5OnqOPBNLWSHKh2a30DoXe8/edit?usp=sharing"",""นครศรีธรรมราช!J239"")"),0)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IFERROR(__xludf.DUMMYFUNCTION("IMPORTRANGE(""https://docs.google.com/spreadsheets/d/1IYY_tgx_IHuhSq3AJ5eI5OnqOPBNLWSHKh2a30DoXe8/edit?usp=sharing"",""นครศรีธรรมราช!I240"")"),650)</f>
        <v>650</v>
      </c>
      <c r="J345" s="194">
        <f ca="1">IFERROR(__xludf.DUMMYFUNCTION("IMPORTRANGE(""https://docs.google.com/spreadsheets/d/1IYY_tgx_IHuhSq3AJ5eI5OnqOPBNLWSHKh2a30DoXe8/edit?usp=sharing"",""นครศรีธรรมราช!J240"")"),540)</f>
        <v>540</v>
      </c>
      <c r="K345" s="348">
        <f t="shared" ca="1" si="103"/>
        <v>83.07692307692308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IFERROR(__xludf.DUMMYFUNCTION("IMPORTRANGE(""https://docs.google.com/spreadsheets/d/1IYY_tgx_IHuhSq3AJ5eI5OnqOPBNLWSHKh2a30DoXe8/edit?usp=sharing"",""นครศรีธรรมราช!I241"")"),0)</f>
        <v>0</v>
      </c>
      <c r="J346" s="194">
        <f ca="1">IFERROR(__xludf.DUMMYFUNCTION("IMPORTRANGE(""https://docs.google.com/spreadsheets/d/1IYY_tgx_IHuhSq3AJ5eI5OnqOPBNLWSHKh2a30DoXe8/edit?usp=sharing"",""นครศรีธรรมราช!J241"")"),5075.1)</f>
        <v>5075.1000000000004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IFERROR(__xludf.DUMMYFUNCTION("IMPORTRANGE(""https://docs.google.com/spreadsheets/d/1IYY_tgx_IHuhSq3AJ5eI5OnqOPBNLWSHKh2a30DoXe8/edit?usp=sharing"",""นครศรีธรรมราช!L242"")"),1184681)</f>
        <v>1184681</v>
      </c>
      <c r="M347" s="364"/>
      <c r="N347" s="364">
        <f ca="1">IFERROR(__xludf.DUMMYFUNCTION("IMPORTRANGE(""https://docs.google.com/spreadsheets/d/1IYY_tgx_IHuhSq3AJ5eI5OnqOPBNLWSHKh2a30DoXe8/edit?usp=sharing"",""นครศรีธรรมราช!M242"")"),882355.86)</f>
        <v>882355.86</v>
      </c>
      <c r="O347" s="364">
        <f ca="1">+IF(L347&gt;0,N347*100/L347,0)</f>
        <v>74.480460140746743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IFERROR(__xludf.DUMMYFUNCTION("IMPORTRANGE(""https://docs.google.com/spreadsheets/d/1IYY_tgx_IHuhSq3AJ5eI5OnqOPBNLWSHKh2a30DoXe8/edit?usp=sharing"",""นครศรีธรรมราช!I244"")"),0)</f>
        <v>0</v>
      </c>
      <c r="J349" s="377">
        <f ca="1">IFERROR(__xludf.DUMMYFUNCTION("IMPORTRANGE(""https://docs.google.com/spreadsheets/d/1IYY_tgx_IHuhSq3AJ5eI5OnqOPBNLWSHKh2a30DoXe8/edit?usp=sharing"",""นครศรีธรรมราช!J244"")"),0)</f>
        <v>0</v>
      </c>
      <c r="K349" s="378">
        <f t="shared" ref="K349:K350" ca="1" si="104">IF(I349&gt;0,J349*100/I349,0)</f>
        <v>0</v>
      </c>
      <c r="L349" s="379">
        <f ca="1">IFERROR(__xludf.DUMMYFUNCTION("IMPORTRANGE(""https://docs.google.com/spreadsheets/d/1IYY_tgx_IHuhSq3AJ5eI5OnqOPBNLWSHKh2a30DoXe8/edit?usp=sharing"",""นครศรีธรรมราช!L244"")"),0)</f>
        <v>0</v>
      </c>
      <c r="M349" s="379"/>
      <c r="N349" s="379">
        <f ca="1">IFERROR(__xludf.DUMMYFUNCTION("IMPORTRANGE(""https://docs.google.com/spreadsheets/d/1IYY_tgx_IHuhSq3AJ5eI5OnqOPBNLWSHKh2a30DoXe8/edit?usp=sharing"",""นครศรีธรรมราช!M244"")"),0)</f>
        <v>0</v>
      </c>
      <c r="O349" s="379">
        <f ca="1">+IF(L349&gt;0,N349*100/L349,0)</f>
        <v>0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IFERROR(__xludf.DUMMYFUNCTION("IMPORTRANGE(""https://docs.google.com/spreadsheets/d/1IYY_tgx_IHuhSq3AJ5eI5OnqOPBNLWSHKh2a30DoXe8/edit?usp=sharing"",""นครศรีธรรมราช!I245"")"),0)</f>
        <v>0</v>
      </c>
      <c r="J350" s="377">
        <f ca="1">IFERROR(__xludf.DUMMYFUNCTION("IMPORTRANGE(""https://docs.google.com/spreadsheets/d/1IYY_tgx_IHuhSq3AJ5eI5OnqOPBNLWSHKh2a30DoXe8/edit?usp=sharing"",""นครศรีธรรมราช!J245"")"),0)</f>
        <v>0</v>
      </c>
      <c r="K350" s="378">
        <f t="shared" ca="1" si="104"/>
        <v>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IFERROR(__xludf.DUMMYFUNCTION("IMPORTRANGE(""https://docs.google.com/spreadsheets/d/1IYY_tgx_IHuhSq3AJ5eI5OnqOPBNLWSHKh2a30DoXe8/edit?usp=sharing"",""นครศรีธรรมราช!L246"")"),0)</f>
        <v>0</v>
      </c>
      <c r="M351" s="168"/>
      <c r="N351" s="168">
        <f ca="1">IFERROR(__xludf.DUMMYFUNCTION("IMPORTRANGE(""https://docs.google.com/spreadsheets/d/1IYY_tgx_IHuhSq3AJ5eI5OnqOPBNLWSHKh2a30DoXe8/edit?usp=sharing"",""นครศรีธรรมราช!M246"")"),0)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IFERROR(__xludf.DUMMYFUNCTION("IMPORTRANGE(""https://docs.google.com/spreadsheets/d/1IYY_tgx_IHuhSq3AJ5eI5OnqOPBNLWSHKh2a30DoXe8/edit?usp=sharing"",""นครศรีธรรมราช!L247"")"),0)</f>
        <v>0</v>
      </c>
      <c r="M352" s="169"/>
      <c r="N352" s="168">
        <f ca="1">IFERROR(__xludf.DUMMYFUNCTION("IMPORTRANGE(""https://docs.google.com/spreadsheets/d/1IYY_tgx_IHuhSq3AJ5eI5OnqOPBNLWSHKh2a30DoXe8/edit?usp=sharing"",""นครศรีธรรมราช!M247"")"),0)</f>
        <v>0</v>
      </c>
      <c r="O352" s="169">
        <f t="shared" ca="1" si="105"/>
        <v>0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IFERROR(__xludf.DUMMYFUNCTION("IMPORTRANGE(""https://docs.google.com/spreadsheets/d/1IYY_tgx_IHuhSq3AJ5eI5OnqOPBNLWSHKh2a30DoXe8/edit?usp=sharing"",""นครศรีธรรมราช!L248"")"),0)</f>
        <v>0</v>
      </c>
      <c r="M353" s="175"/>
      <c r="N353" s="175">
        <f ca="1">IFERROR(__xludf.DUMMYFUNCTION("IMPORTRANGE(""https://docs.google.com/spreadsheets/d/1IYY_tgx_IHuhSq3AJ5eI5OnqOPBNLWSHKh2a30DoXe8/edit?usp=sharing"",""นครศรีธรรมราช!M248"")"),0)</f>
        <v>0</v>
      </c>
      <c r="O353" s="175">
        <f t="shared" ca="1" si="105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IFERROR(__xludf.DUMMYFUNCTION("IMPORTRANGE(""https://docs.google.com/spreadsheets/d/1IYY_tgx_IHuhSq3AJ5eI5OnqOPBNLWSHKh2a30DoXe8/edit?usp=sharing"",""นครศรีธรรมราช!L249"")"),0)</f>
        <v>0</v>
      </c>
      <c r="M354" s="175"/>
      <c r="N354" s="172">
        <f ca="1">IFERROR(__xludf.DUMMYFUNCTION("IMPORTRANGE(""https://docs.google.com/spreadsheets/d/1IYY_tgx_IHuhSq3AJ5eI5OnqOPBNLWSHKh2a30DoXe8/edit?usp=sharing"",""นครศรีธรรมราช!M249"")"),0)</f>
        <v>0</v>
      </c>
      <c r="O354" s="175">
        <f t="shared" ca="1" si="105"/>
        <v>0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IFERROR(__xludf.DUMMYFUNCTION("IMPORTRANGE(""https://docs.google.com/spreadsheets/d/1IYY_tgx_IHuhSq3AJ5eI5OnqOPBNLWSHKh2a30DoXe8/edit?usp=sharing"",""นครศรีธรรมราช!M250"")"),0)</f>
        <v>0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IFERROR(__xludf.DUMMYFUNCTION("IMPORTRANGE(""https://docs.google.com/spreadsheets/d/1IYY_tgx_IHuhSq3AJ5eI5OnqOPBNLWSHKh2a30DoXe8/edit?usp=sharing"",""นครศรีธรรมราช!M251"")"),0)</f>
        <v>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IFERROR(__xludf.DUMMYFUNCTION("IMPORTRANGE(""https://docs.google.com/spreadsheets/d/1IYY_tgx_IHuhSq3AJ5eI5OnqOPBNLWSHKh2a30DoXe8/edit?usp=sharing"",""นครศรีธรรมราช!M252"")"),0)</f>
        <v>0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IFERROR(__xludf.DUMMYFUNCTION("IMPORTRANGE(""https://docs.google.com/spreadsheets/d/1IYY_tgx_IHuhSq3AJ5eI5OnqOPBNLWSHKh2a30DoXe8/edit?usp=sharing"",""นครศรีธรรมราช!M253"")"),0)</f>
        <v>0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IFERROR(__xludf.DUMMYFUNCTION("IMPORTRANGE(""https://docs.google.com/spreadsheets/d/1IYY_tgx_IHuhSq3AJ5eI5OnqOPBNLWSHKh2a30DoXe8/edit?usp=sharing"",""นครศรีธรรมราช!J255"")"),0)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IFERROR(__xludf.DUMMYFUNCTION("IMPORTRANGE(""https://docs.google.com/spreadsheets/d/1IYY_tgx_IHuhSq3AJ5eI5OnqOPBNLWSHKh2a30DoXe8/edit?usp=sharing"",""นครศรีธรรมราช!J256"")"),0)</f>
        <v>0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IFERROR(__xludf.DUMMYFUNCTION("IMPORTRANGE(""https://docs.google.com/spreadsheets/d/1IYY_tgx_IHuhSq3AJ5eI5OnqOPBNLWSHKh2a30DoXe8/edit?usp=sharing"",""นครศรีธรรมราช!J257"")"),0)</f>
        <v>0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IFERROR(__xludf.DUMMYFUNCTION("IMPORTRANGE(""https://docs.google.com/spreadsheets/d/1IYY_tgx_IHuhSq3AJ5eI5OnqOPBNLWSHKh2a30DoXe8/edit?usp=sharing"",""นครศรีธรรมราช!J258"")"),0)</f>
        <v>0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IFERROR(__xludf.DUMMYFUNCTION("IMPORTRANGE(""https://docs.google.com/spreadsheets/d/1IYY_tgx_IHuhSq3AJ5eI5OnqOPBNLWSHKh2a30DoXe8/edit?usp=sharing"",""นครศรีธรรมราช!J166"")"),0)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IFERROR(__xludf.DUMMYFUNCTION("IMPORTRANGE(""https://docs.google.com/spreadsheets/d/1IYY_tgx_IHuhSq3AJ5eI5OnqOPBNLWSHKh2a30DoXe8/edit?usp=sharing"",""นครศรีธรรมราช!J166"")"),0)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IFERROR(__xludf.DUMMYFUNCTION("IMPORTRANGE(""https://docs.google.com/spreadsheets/d/1IYY_tgx_IHuhSq3AJ5eI5OnqOPBNLWSHKh2a30DoXe8/edit?usp=sharing"",""นครศรีธรรมราช!J166"")"),0)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IFERROR(__xludf.DUMMYFUNCTION("IMPORTRANGE(""https://docs.google.com/spreadsheets/d/1IYY_tgx_IHuhSq3AJ5eI5OnqOPBNLWSHKh2a30DoXe8/edit?usp=sharing"",""นครศรีธรรมราช!J166"")"),0)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IFERROR(__xludf.DUMMYFUNCTION("IMPORTRANGE(""https://docs.google.com/spreadsheets/d/1IYY_tgx_IHuhSq3AJ5eI5OnqOPBNLWSHKh2a30DoXe8/edit?usp=sharing"",""นครศรีธรรมราช!I263"")"),0)</f>
        <v>0</v>
      </c>
      <c r="J368" s="194">
        <f ca="1">IFERROR(__xludf.DUMMYFUNCTION("IMPORTRANGE(""https://docs.google.com/spreadsheets/d/1IYY_tgx_IHuhSq3AJ5eI5OnqOPBNLWSHKh2a30DoXe8/edit?usp=sharing"",""นครศรีธรรมราช!J263"")"),0)</f>
        <v>0</v>
      </c>
      <c r="K368" s="167">
        <f t="shared" ca="1" si="106"/>
        <v>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IFERROR(__xludf.DUMMYFUNCTION("IMPORTRANGE(""https://docs.google.com/spreadsheets/d/1IYY_tgx_IHuhSq3AJ5eI5OnqOPBNLWSHKh2a30DoXe8/edit?usp=sharing"",""นครศรีธรรมราช!I164"")"),0)</f>
        <v>0</v>
      </c>
      <c r="J369" s="210">
        <f ca="1">IFERROR(__xludf.DUMMYFUNCTION("IMPORTRANGE(""https://docs.google.com/spreadsheets/d/1IYY_tgx_IHuhSq3AJ5eI5OnqOPBNLWSHKh2a30DoXe8/edit?usp=sharing"",""นครศรีธรรมราช!J164"")"),0)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IFERROR(__xludf.DUMMYFUNCTION("IMPORTRANGE(""https://docs.google.com/spreadsheets/d/1IYY_tgx_IHuhSq3AJ5eI5OnqOPBNLWSHKh2a30DoXe8/edit?usp=sharing"",""นครศรีธรรมราช!I265"")"),0)</f>
        <v>0</v>
      </c>
      <c r="J370" s="210">
        <f ca="1">IFERROR(__xludf.DUMMYFUNCTION("IMPORTRANGE(""https://docs.google.com/spreadsheets/d/1IYY_tgx_IHuhSq3AJ5eI5OnqOPBNLWSHKh2a30DoXe8/edit?usp=sharing"",""นครศรีธรรมราช!J265"")"),0)</f>
        <v>0</v>
      </c>
      <c r="K370" s="167">
        <f t="shared" ca="1" si="106"/>
        <v>0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IFERROR(__xludf.DUMMYFUNCTION("IMPORTRANGE(""https://docs.google.com/spreadsheets/d/1IYY_tgx_IHuhSq3AJ5eI5OnqOPBNLWSHKh2a30DoXe8/edit?usp=sharing"",""นครศรีธรรมราช!I164"")"),0)</f>
        <v>0</v>
      </c>
      <c r="J371" s="195">
        <f ca="1">IFERROR(__xludf.DUMMYFUNCTION("IMPORTRANGE(""https://docs.google.com/spreadsheets/d/1IYY_tgx_IHuhSq3AJ5eI5OnqOPBNLWSHKh2a30DoXe8/edit?usp=sharing"",""นครศรีธรรมราช!J164"")"),0)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IFERROR(__xludf.DUMMYFUNCTION("IMPORTRANGE(""https://docs.google.com/spreadsheets/d/1IYY_tgx_IHuhSq3AJ5eI5OnqOPBNLWSHKh2a30DoXe8/edit?usp=sharing"",""นครศรีธรรมราช!I267"")"),0)</f>
        <v>0</v>
      </c>
      <c r="J372" s="195">
        <f ca="1">IFERROR(__xludf.DUMMYFUNCTION("IMPORTRANGE(""https://docs.google.com/spreadsheets/d/1IYY_tgx_IHuhSq3AJ5eI5OnqOPBNLWSHKh2a30DoXe8/edit?usp=sharing"",""นครศรีธรรมราช!J267"")"),0)</f>
        <v>0</v>
      </c>
      <c r="K372" s="167">
        <f t="shared" ca="1" si="106"/>
        <v>0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IFERROR(__xludf.DUMMYFUNCTION("IMPORTRANGE(""https://docs.google.com/spreadsheets/d/1IYY_tgx_IHuhSq3AJ5eI5OnqOPBNLWSHKh2a30DoXe8/edit?usp=sharing"",""นครศรีธรรมราช!I164"")"),0)</f>
        <v>0</v>
      </c>
      <c r="J373" s="210">
        <f ca="1">IFERROR(__xludf.DUMMYFUNCTION("IMPORTRANGE(""https://docs.google.com/spreadsheets/d/1IYY_tgx_IHuhSq3AJ5eI5OnqOPBNLWSHKh2a30DoXe8/edit?usp=sharing"",""นครศรีธรรมราช!J164"")"),0)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IFERROR(__xludf.DUMMYFUNCTION("IMPORTRANGE(""https://docs.google.com/spreadsheets/d/1IYY_tgx_IHuhSq3AJ5eI5OnqOPBNLWSHKh2a30DoXe8/edit?usp=sharing"",""นครศรีธรรมราช!I164"")"),0)</f>
        <v>0</v>
      </c>
      <c r="J374" s="194">
        <f ca="1">IFERROR(__xludf.DUMMYFUNCTION("IMPORTRANGE(""https://docs.google.com/spreadsheets/d/1IYY_tgx_IHuhSq3AJ5eI5OnqOPBNLWSHKh2a30DoXe8/edit?usp=sharing"",""นครศรีธรรมราช!J164"")"),0)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IFERROR(__xludf.DUMMYFUNCTION("IMPORTRANGE(""https://docs.google.com/spreadsheets/d/1IYY_tgx_IHuhSq3AJ5eI5OnqOPBNLWSHKh2a30DoXe8/edit?usp=sharing"",""นครศรีธรรมราช!I270"")"),0)</f>
        <v>0</v>
      </c>
      <c r="J375" s="194">
        <f ca="1">IFERROR(__xludf.DUMMYFUNCTION("IMPORTRANGE(""https://docs.google.com/spreadsheets/d/1IYY_tgx_IHuhSq3AJ5eI5OnqOPBNLWSHKh2a30DoXe8/edit?usp=sharing"",""นครศรีธรรมราช!J270"")"),0)</f>
        <v>0</v>
      </c>
      <c r="K375" s="167">
        <f t="shared" ref="K375:K377" ca="1" si="107">IF(I375&gt;0,J375*100/I375,0)</f>
        <v>0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IFERROR(__xludf.DUMMYFUNCTION("IMPORTRANGE(""https://docs.google.com/spreadsheets/d/1IYY_tgx_IHuhSq3AJ5eI5OnqOPBNLWSHKh2a30DoXe8/edit?usp=sharing"",""นครศรีธรรมราช!I271"")"),0)</f>
        <v>0</v>
      </c>
      <c r="J376" s="195">
        <f ca="1">IFERROR(__xludf.DUMMYFUNCTION("IMPORTRANGE(""https://docs.google.com/spreadsheets/d/1IYY_tgx_IHuhSq3AJ5eI5OnqOPBNLWSHKh2a30DoXe8/edit?usp=sharing"",""นครศรีธรรมราช!J271"")"),0)</f>
        <v>0</v>
      </c>
      <c r="K376" s="167">
        <f t="shared" ca="1" si="107"/>
        <v>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IFERROR(__xludf.DUMMYFUNCTION("IMPORTRANGE(""https://docs.google.com/spreadsheets/d/1IYY_tgx_IHuhSq3AJ5eI5OnqOPBNLWSHKh2a30DoXe8/edit?usp=sharing"",""นครศรีธรรมราช!I272"")"),0)</f>
        <v>0</v>
      </c>
      <c r="J377" s="210">
        <f ca="1">IFERROR(__xludf.DUMMYFUNCTION("IMPORTRANGE(""https://docs.google.com/spreadsheets/d/1IYY_tgx_IHuhSq3AJ5eI5OnqOPBNLWSHKh2a30DoXe8/edit?usp=sharing"",""นครศรีธรรมราช!J272"")"),0)</f>
        <v>0</v>
      </c>
      <c r="K377" s="167">
        <f t="shared" ca="1" si="107"/>
        <v>0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IFERROR(__xludf.DUMMYFUNCTION("IMPORTRANGE(""https://docs.google.com/spreadsheets/d/1IYY_tgx_IHuhSq3AJ5eI5OnqOPBNLWSHKh2a30DoXe8/edit?usp=sharing"",""นครศรีธรรมราช!J273"")"),0)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IFERROR(__xludf.DUMMYFUNCTION("IMPORTRANGE(""https://docs.google.com/spreadsheets/d/1IYY_tgx_IHuhSq3AJ5eI5OnqOPBNLWSHKh2a30DoXe8/edit?usp=sharing"",""นครศรีธรรมราช!J274"")"),0)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IFERROR(__xludf.DUMMYFUNCTION("IMPORTRANGE(""https://docs.google.com/spreadsheets/d/1IYY_tgx_IHuhSq3AJ5eI5OnqOPBNLWSHKh2a30DoXe8/edit?usp=sharing"",""นครศรีธรรมราช!I275"")"),200)</f>
        <v>200</v>
      </c>
      <c r="J380" s="377">
        <f ca="1">IFERROR(__xludf.DUMMYFUNCTION("IMPORTRANGE(""https://docs.google.com/spreadsheets/d/1IYY_tgx_IHuhSq3AJ5eI5OnqOPBNLWSHKh2a30DoXe8/edit?usp=sharing"",""นครศรีธรรมราช!J275"")"),200)</f>
        <v>200</v>
      </c>
      <c r="K380" s="378">
        <f t="shared" ref="K380:K381" ca="1" si="108">IF(I380&gt;0,J380*100/I380,0)</f>
        <v>100</v>
      </c>
      <c r="L380" s="379">
        <f ca="1">IFERROR(__xludf.DUMMYFUNCTION("IMPORTRANGE(""https://docs.google.com/spreadsheets/d/1IYY_tgx_IHuhSq3AJ5eI5OnqOPBNLWSHKh2a30DoXe8/edit?usp=sharing"",""นครศรีธรรมราช!L275"")"),207560)</f>
        <v>207560</v>
      </c>
      <c r="M380" s="379"/>
      <c r="N380" s="379">
        <f ca="1">IFERROR(__xludf.DUMMYFUNCTION("IMPORTRANGE(""https://docs.google.com/spreadsheets/d/1IYY_tgx_IHuhSq3AJ5eI5OnqOPBNLWSHKh2a30DoXe8/edit?usp=sharing"",""นครศรีธรรมราช!M275"")"),146150.2)</f>
        <v>146150.20000000001</v>
      </c>
      <c r="O380" s="379">
        <f ca="1">+IF(L380&gt;0,N380*100/L380,0)</f>
        <v>70.413470803623056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IFERROR(__xludf.DUMMYFUNCTION("IMPORTRANGE(""https://docs.google.com/spreadsheets/d/1IYY_tgx_IHuhSq3AJ5eI5OnqOPBNLWSHKh2a30DoXe8/edit?usp=sharing"",""นครศรีธรรมราช!I276"")"),20)</f>
        <v>20</v>
      </c>
      <c r="J381" s="377">
        <f ca="1">IFERROR(__xludf.DUMMYFUNCTION("IMPORTRANGE(""https://docs.google.com/spreadsheets/d/1IYY_tgx_IHuhSq3AJ5eI5OnqOPBNLWSHKh2a30DoXe8/edit?usp=sharing"",""นครศรีธรรมราช!J276"")"),20)</f>
        <v>20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IFERROR(__xludf.DUMMYFUNCTION("IMPORTRANGE(""https://docs.google.com/spreadsheets/d/1IYY_tgx_IHuhSq3AJ5eI5OnqOPBNLWSHKh2a30DoXe8/edit?usp=sharing"",""นครศรีธรรมราช!L277"")"),0)</f>
        <v>0</v>
      </c>
      <c r="M382" s="168"/>
      <c r="N382" s="168">
        <f ca="1">IFERROR(__xludf.DUMMYFUNCTION("IMPORTRANGE(""https://docs.google.com/spreadsheets/d/1IYY_tgx_IHuhSq3AJ5eI5OnqOPBNLWSHKh2a30DoXe8/edit?usp=sharing"",""นครศรีธรรมราช!M277"")"),0)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IFERROR(__xludf.DUMMYFUNCTION("IMPORTRANGE(""https://docs.google.com/spreadsheets/d/1IYY_tgx_IHuhSq3AJ5eI5OnqOPBNLWSHKh2a30DoXe8/edit?usp=sharing"",""นครศรีธรรมราช!L278"")"),207560)</f>
        <v>207560</v>
      </c>
      <c r="M383" s="169"/>
      <c r="N383" s="169">
        <f ca="1">IFERROR(__xludf.DUMMYFUNCTION("IMPORTRANGE(""https://docs.google.com/spreadsheets/d/1IYY_tgx_IHuhSq3AJ5eI5OnqOPBNLWSHKh2a30DoXe8/edit?usp=sharing"",""นครศรีธรรมราช!M278"")"),146150.2)</f>
        <v>146150.20000000001</v>
      </c>
      <c r="O383" s="169">
        <f t="shared" ca="1" si="109"/>
        <v>70.413470803623056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IFERROR(__xludf.DUMMYFUNCTION("IMPORTRANGE(""https://docs.google.com/spreadsheets/d/1IYY_tgx_IHuhSq3AJ5eI5OnqOPBNLWSHKh2a30DoXe8/edit?usp=sharing"",""นครศรีธรรมราช!L279"")"),0)</f>
        <v>0</v>
      </c>
      <c r="M384" s="175"/>
      <c r="N384" s="175">
        <f ca="1">IFERROR(__xludf.DUMMYFUNCTION("IMPORTRANGE(""https://docs.google.com/spreadsheets/d/1IYY_tgx_IHuhSq3AJ5eI5OnqOPBNLWSHKh2a30DoXe8/edit?usp=sharing"",""นครศรีธรรมราช!M279"")"),0)</f>
        <v>0</v>
      </c>
      <c r="O384" s="175">
        <f t="shared" ca="1" si="109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IFERROR(__xludf.DUMMYFUNCTION("IMPORTRANGE(""https://docs.google.com/spreadsheets/d/1IYY_tgx_IHuhSq3AJ5eI5OnqOPBNLWSHKh2a30DoXe8/edit?usp=sharing"",""นครศรีธรรมราช!L280"")"),207560)</f>
        <v>207560</v>
      </c>
      <c r="M385" s="175"/>
      <c r="N385" s="172">
        <f ca="1">IFERROR(__xludf.DUMMYFUNCTION("IMPORTRANGE(""https://docs.google.com/spreadsheets/d/1IYY_tgx_IHuhSq3AJ5eI5OnqOPBNLWSHKh2a30DoXe8/edit?usp=sharing"",""นครศรีธรรมราช!M280"")"),146150.2)</f>
        <v>146150.20000000001</v>
      </c>
      <c r="O385" s="175">
        <f t="shared" ca="1" si="109"/>
        <v>70.413470803623056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IFERROR(__xludf.DUMMYFUNCTION("IMPORTRANGE(""https://docs.google.com/spreadsheets/d/1IYY_tgx_IHuhSq3AJ5eI5OnqOPBNLWSHKh2a30DoXe8/edit?usp=sharing"",""นครศรีธรรมราช!M281"")"),23036)</f>
        <v>23036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IFERROR(__xludf.DUMMYFUNCTION("IMPORTRANGE(""https://docs.google.com/spreadsheets/d/1IYY_tgx_IHuhSq3AJ5eI5OnqOPBNLWSHKh2a30DoXe8/edit?usp=sharing"",""นครศรีธรรมราช!M282"")"),108397)</f>
        <v>108397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IFERROR(__xludf.DUMMYFUNCTION("IMPORTRANGE(""https://docs.google.com/spreadsheets/d/1IYY_tgx_IHuhSq3AJ5eI5OnqOPBNLWSHKh2a30DoXe8/edit?usp=sharing"",""นครศรีธรรมราช!M283"")"),0)</f>
        <v>0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IFERROR(__xludf.DUMMYFUNCTION("IMPORTRANGE(""https://docs.google.com/spreadsheets/d/1IYY_tgx_IHuhSq3AJ5eI5OnqOPBNLWSHKh2a30DoXe8/edit?usp=sharing"",""นครศรีธรรมราช!M284"")"),14717.2)</f>
        <v>14717.2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IFERROR(__xludf.DUMMYFUNCTION("IMPORTRANGE(""https://docs.google.com/spreadsheets/d/1IYY_tgx_IHuhSq3AJ5eI5OnqOPBNLWSHKh2a30DoXe8/edit?usp=sharing"",""นครศรีธรรมราช!J286"")"),0)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IFERROR(__xludf.DUMMYFUNCTION("IMPORTRANGE(""https://docs.google.com/spreadsheets/d/1IYY_tgx_IHuhSq3AJ5eI5OnqOPBNLWSHKh2a30DoXe8/edit?usp=sharing"",""นครศรีธรรมราช!J287"")"),1)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IFERROR(__xludf.DUMMYFUNCTION("IMPORTRANGE(""https://docs.google.com/spreadsheets/d/1IYY_tgx_IHuhSq3AJ5eI5OnqOPBNLWSHKh2a30DoXe8/edit?usp=sharing"",""นครศรีธรรมราช!J288"")"),1)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IFERROR(__xludf.DUMMYFUNCTION("IMPORTRANGE(""https://docs.google.com/spreadsheets/d/1IYY_tgx_IHuhSq3AJ5eI5OnqOPBNLWSHKh2a30DoXe8/edit?usp=sharing"",""นครศรีธรรมราช!J289"")"),1)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IFERROR(__xludf.DUMMYFUNCTION("IMPORTRANGE(""https://docs.google.com/spreadsheets/d/1IYY_tgx_IHuhSq3AJ5eI5OnqOPBNLWSHKh2a30DoXe8/edit?usp=sharing"",""นครศรีธรรมราช!I291"")"),20)</f>
        <v>20</v>
      </c>
      <c r="J396" s="204">
        <f ca="1">IFERROR(__xludf.DUMMYFUNCTION("IMPORTRANGE(""https://docs.google.com/spreadsheets/d/1IYY_tgx_IHuhSq3AJ5eI5OnqOPBNLWSHKh2a30DoXe8/edit?usp=sharing"",""นครศรีธรรมราช!J291"")"),20)</f>
        <v>20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IFERROR(__xludf.DUMMYFUNCTION("IMPORTRANGE(""https://docs.google.com/spreadsheets/d/1IYY_tgx_IHuhSq3AJ5eI5OnqOPBNLWSHKh2a30DoXe8/edit?usp=sharing"",""นครศรีธรรมราช!I292"")"),200)</f>
        <v>200</v>
      </c>
      <c r="J397" s="204">
        <f ca="1">IFERROR(__xludf.DUMMYFUNCTION("IMPORTRANGE(""https://docs.google.com/spreadsheets/d/1IYY_tgx_IHuhSq3AJ5eI5OnqOPBNLWSHKh2a30DoXe8/edit?usp=sharing"",""นครศรีธรรมราช!J292"")"),200)</f>
        <v>200</v>
      </c>
      <c r="K397" s="167">
        <f t="shared" ca="1" si="110"/>
        <v>100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IFERROR(__xludf.DUMMYFUNCTION("IMPORTRANGE(""https://docs.google.com/spreadsheets/d/1IYY_tgx_IHuhSq3AJ5eI5OnqOPBNLWSHKh2a30DoXe8/edit?usp=sharing"",""นครศรีธรรมราช!I293"")"),20)</f>
        <v>20</v>
      </c>
      <c r="J398" s="204">
        <f ca="1">IFERROR(__xludf.DUMMYFUNCTION("IMPORTRANGE(""https://docs.google.com/spreadsheets/d/1IYY_tgx_IHuhSq3AJ5eI5OnqOPBNLWSHKh2a30DoXe8/edit?usp=sharing"",""นครศรีธรรมราช!J293"")"),99)</f>
        <v>99</v>
      </c>
      <c r="K398" s="167">
        <f t="shared" ca="1" si="110"/>
        <v>495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IFERROR(__xludf.DUMMYFUNCTION("IMPORTRANGE(""https://docs.google.com/spreadsheets/d/1IYY_tgx_IHuhSq3AJ5eI5OnqOPBNLWSHKh2a30DoXe8/edit?usp=sharing"",""นครศรีธรรมราช!J294"")"),0)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IFERROR(__xludf.DUMMYFUNCTION("IMPORTRANGE(""https://docs.google.com/spreadsheets/d/1IYY_tgx_IHuhSq3AJ5eI5OnqOPBNLWSHKh2a30DoXe8/edit?usp=sharing"",""นครศรีธรรมราช!J295"")"),0)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IFERROR(__xludf.DUMMYFUNCTION("IMPORTRANGE(""https://docs.google.com/spreadsheets/d/1IYY_tgx_IHuhSq3AJ5eI5OnqOPBNLWSHKh2a30DoXe8/edit?usp=sharing"",""นครศรีธรรมราช!I296"")"),120)</f>
        <v>120</v>
      </c>
      <c r="J401" s="377">
        <f ca="1">IFERROR(__xludf.DUMMYFUNCTION("IMPORTRANGE(""https://docs.google.com/spreadsheets/d/1IYY_tgx_IHuhSq3AJ5eI5OnqOPBNLWSHKh2a30DoXe8/edit?usp=sharing"",""นครศรีธรรมราช!J296"")"),120)</f>
        <v>120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IFERROR(__xludf.DUMMYFUNCTION("IMPORTRANGE(""https://docs.google.com/spreadsheets/d/1IYY_tgx_IHuhSq3AJ5eI5OnqOPBNLWSHKh2a30DoXe8/edit?usp=sharing"",""นครศรีธรรมราช!L296"")"),114760)</f>
        <v>114760</v>
      </c>
      <c r="M401" s="379"/>
      <c r="N401" s="379">
        <f ca="1">IFERROR(__xludf.DUMMYFUNCTION("IMPORTRANGE(""https://docs.google.com/spreadsheets/d/1IYY_tgx_IHuhSq3AJ5eI5OnqOPBNLWSHKh2a30DoXe8/edit?usp=sharing"",""นครศรีธรรมราช!M296"")"),114760)</f>
        <v>114760</v>
      </c>
      <c r="O401" s="379">
        <f ca="1">+IF(L401&gt;0,N401*100/L401,0)</f>
        <v>100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IFERROR(__xludf.DUMMYFUNCTION("IMPORTRANGE(""https://docs.google.com/spreadsheets/d/1IYY_tgx_IHuhSq3AJ5eI5OnqOPBNLWSHKh2a30DoXe8/edit?usp=sharing"",""นครศรีธรรมราช!I297"")"),40)</f>
        <v>40</v>
      </c>
      <c r="J402" s="377">
        <f ca="1">IFERROR(__xludf.DUMMYFUNCTION("IMPORTRANGE(""https://docs.google.com/spreadsheets/d/1IYY_tgx_IHuhSq3AJ5eI5OnqOPBNLWSHKh2a30DoXe8/edit?usp=sharing"",""นครศรีธรรมราช!J297"")"),40)</f>
        <v>40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IFERROR(__xludf.DUMMYFUNCTION("IMPORTRANGE(""https://docs.google.com/spreadsheets/d/1IYY_tgx_IHuhSq3AJ5eI5OnqOPBNLWSHKh2a30DoXe8/edit?usp=sharing"",""นครศรีธรรมราช!L298"")"),0)</f>
        <v>0</v>
      </c>
      <c r="M403" s="168"/>
      <c r="N403" s="175">
        <f ca="1">IFERROR(__xludf.DUMMYFUNCTION("IMPORTRANGE(""https://docs.google.com/spreadsheets/d/1IYY_tgx_IHuhSq3AJ5eI5OnqOPBNLWSHKh2a30DoXe8/edit?usp=sharing"",""นครศรีธรรมราช!M298"")"),0)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IFERROR(__xludf.DUMMYFUNCTION("IMPORTRANGE(""https://docs.google.com/spreadsheets/d/1IYY_tgx_IHuhSq3AJ5eI5OnqOPBNLWSHKh2a30DoXe8/edit?usp=sharing"",""นครศรีธรรมราช!L299"")"),114760)</f>
        <v>114760</v>
      </c>
      <c r="M404" s="169"/>
      <c r="N404" s="175">
        <f ca="1">IFERROR(__xludf.DUMMYFUNCTION("IMPORTRANGE(""https://docs.google.com/spreadsheets/d/1IYY_tgx_IHuhSq3AJ5eI5OnqOPBNLWSHKh2a30DoXe8/edit?usp=sharing"",""นครศรีธรรมราช!M299"")"),114760)</f>
        <v>114760</v>
      </c>
      <c r="O404" s="175">
        <f t="shared" ca="1" si="112"/>
        <v>100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IFERROR(__xludf.DUMMYFUNCTION("IMPORTRANGE(""https://docs.google.com/spreadsheets/d/1IYY_tgx_IHuhSq3AJ5eI5OnqOPBNLWSHKh2a30DoXe8/edit?usp=sharing"",""นครศรีธรรมราช!L300"")"),0)</f>
        <v>0</v>
      </c>
      <c r="M405" s="175"/>
      <c r="N405" s="175">
        <f ca="1">IFERROR(__xludf.DUMMYFUNCTION("IMPORTRANGE(""https://docs.google.com/spreadsheets/d/1IYY_tgx_IHuhSq3AJ5eI5OnqOPBNLWSHKh2a30DoXe8/edit?usp=sharing"",""นครศรีธรรมราช!M300"")"),0)</f>
        <v>0</v>
      </c>
      <c r="O405" s="175">
        <f t="shared" ca="1" si="112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IFERROR(__xludf.DUMMYFUNCTION("IMPORTRANGE(""https://docs.google.com/spreadsheets/d/1IYY_tgx_IHuhSq3AJ5eI5OnqOPBNLWSHKh2a30DoXe8/edit?usp=sharing"",""นครศรีธรรมราช!L301"")"),114760)</f>
        <v>114760</v>
      </c>
      <c r="M406" s="175"/>
      <c r="N406" s="175">
        <f ca="1">IFERROR(__xludf.DUMMYFUNCTION("IMPORTRANGE(""https://docs.google.com/spreadsheets/d/1IYY_tgx_IHuhSq3AJ5eI5OnqOPBNLWSHKh2a30DoXe8/edit?usp=sharing"",""นครศรีธรรมราช!M301"")"),114760)</f>
        <v>114760</v>
      </c>
      <c r="O406" s="175">
        <f t="shared" ca="1" si="112"/>
        <v>100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IFERROR(__xludf.DUMMYFUNCTION("IMPORTRANGE(""https://docs.google.com/spreadsheets/d/1IYY_tgx_IHuhSq3AJ5eI5OnqOPBNLWSHKh2a30DoXe8/edit?usp=sharing"",""นครศรีธรรมราช!M302"")"),75000)</f>
        <v>75000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IFERROR(__xludf.DUMMYFUNCTION("IMPORTRANGE(""https://docs.google.com/spreadsheets/d/1IYY_tgx_IHuhSq3AJ5eI5OnqOPBNLWSHKh2a30DoXe8/edit?usp=sharing"",""นครศรีธรรมราช!M303"")"),14000)</f>
        <v>14000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IFERROR(__xludf.DUMMYFUNCTION("IMPORTRANGE(""https://docs.google.com/spreadsheets/d/1IYY_tgx_IHuhSq3AJ5eI5OnqOPBNLWSHKh2a30DoXe8/edit?usp=sharing"",""นครศรีธรรมราช!M304"")"),0)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IFERROR(__xludf.DUMMYFUNCTION("IMPORTRANGE(""https://docs.google.com/spreadsheets/d/1IYY_tgx_IHuhSq3AJ5eI5OnqOPBNLWSHKh2a30DoXe8/edit?usp=sharing"",""นครศรีธรรมราช!M305"")"),25760)</f>
        <v>25760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IFERROR(__xludf.DUMMYFUNCTION("IMPORTRANGE(""https://docs.google.com/spreadsheets/d/1IYY_tgx_IHuhSq3AJ5eI5OnqOPBNLWSHKh2a30DoXe8/edit?usp=sharing"",""นครศรีธรรมราช!J307"")"),0)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IFERROR(__xludf.DUMMYFUNCTION("IMPORTRANGE(""https://docs.google.com/spreadsheets/d/1IYY_tgx_IHuhSq3AJ5eI5OnqOPBNLWSHKh2a30DoXe8/edit?usp=sharing"",""นครศรีธรรมราช!J308"")"),1)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IFERROR(__xludf.DUMMYFUNCTION("IMPORTRANGE(""https://docs.google.com/spreadsheets/d/1IYY_tgx_IHuhSq3AJ5eI5OnqOPBNLWSHKh2a30DoXe8/edit?usp=sharing"",""นครศรีธรรมราช!J309"")"),1)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IFERROR(__xludf.DUMMYFUNCTION("IMPORTRANGE(""https://docs.google.com/spreadsheets/d/1IYY_tgx_IHuhSq3AJ5eI5OnqOPBNLWSHKh2a30DoXe8/edit?usp=sharing"",""นครศรีธรรมราช!J310"")"),1)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IFERROR(__xludf.DUMMYFUNCTION("IMPORTRANGE(""https://docs.google.com/spreadsheets/d/1IYY_tgx_IHuhSq3AJ5eI5OnqOPBNLWSHKh2a30DoXe8/edit?usp=sharing"",""นครศรีธรรมราช!I311"")"),40)</f>
        <v>40</v>
      </c>
      <c r="J416" s="207">
        <f ca="1">IFERROR(__xludf.DUMMYFUNCTION("IMPORTRANGE(""https://docs.google.com/spreadsheets/d/1IYY_tgx_IHuhSq3AJ5eI5OnqOPBNLWSHKh2a30DoXe8/edit?usp=sharing"",""นครศรีธรรมราช!J311"")"),40)</f>
        <v>40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IFERROR(__xludf.DUMMYFUNCTION("IMPORTRANGE(""https://docs.google.com/spreadsheets/d/1IYY_tgx_IHuhSq3AJ5eI5OnqOPBNLWSHKh2a30DoXe8/edit?usp=sharing"",""นครศรีธรรมราช!I312"")"),0)</f>
        <v>0</v>
      </c>
      <c r="J417" s="398">
        <f ca="1">IFERROR(__xludf.DUMMYFUNCTION("IMPORTRANGE(""https://docs.google.com/spreadsheets/d/1IYY_tgx_IHuhSq3AJ5eI5OnqOPBNLWSHKh2a30DoXe8/edit?usp=sharing"",""นครศรีธรรมราช!J312"")"),0)</f>
        <v>0</v>
      </c>
      <c r="K417" s="208">
        <f t="shared" ca="1" si="113"/>
        <v>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IFERROR(__xludf.DUMMYFUNCTION("IMPORTRANGE(""https://docs.google.com/spreadsheets/d/1IYY_tgx_IHuhSq3AJ5eI5OnqOPBNLWSHKh2a30DoXe8/edit?usp=sharing"",""นครศรีธรรมราช!I313"")"),0)</f>
        <v>0</v>
      </c>
      <c r="J418" s="399">
        <f ca="1">IFERROR(__xludf.DUMMYFUNCTION("IMPORTRANGE(""https://docs.google.com/spreadsheets/d/1IYY_tgx_IHuhSq3AJ5eI5OnqOPBNLWSHKh2a30DoXe8/edit?usp=sharing"",""นครศรีธรรมราช!J313"")"),0)</f>
        <v>0</v>
      </c>
      <c r="K418" s="208">
        <f t="shared" ca="1" si="113"/>
        <v>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IFERROR(__xludf.DUMMYFUNCTION("IMPORTRANGE(""https://docs.google.com/spreadsheets/d/1IYY_tgx_IHuhSq3AJ5eI5OnqOPBNLWSHKh2a30DoXe8/edit?usp=sharing"",""นครศรีธรรมราช!I314"")"),0)</f>
        <v>0</v>
      </c>
      <c r="J419" s="400">
        <f ca="1">IFERROR(__xludf.DUMMYFUNCTION("IMPORTRANGE(""https://docs.google.com/spreadsheets/d/1IYY_tgx_IHuhSq3AJ5eI5OnqOPBNLWSHKh2a30DoXe8/edit?usp=sharing"",""นครศรีธรรมราช!J314"")"),0)</f>
        <v>0</v>
      </c>
      <c r="K419" s="167">
        <f t="shared" ca="1" si="113"/>
        <v>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IFERROR(__xludf.DUMMYFUNCTION("IMPORTRANGE(""https://docs.google.com/spreadsheets/d/1IYY_tgx_IHuhSq3AJ5eI5OnqOPBNLWSHKh2a30DoXe8/edit?usp=sharing"",""นครศรีธรรมราช!I315"")"),0)</f>
        <v>0</v>
      </c>
      <c r="J420" s="400">
        <f ca="1">IFERROR(__xludf.DUMMYFUNCTION("IMPORTRANGE(""https://docs.google.com/spreadsheets/d/1IYY_tgx_IHuhSq3AJ5eI5OnqOPBNLWSHKh2a30DoXe8/edit?usp=sharing"",""นครศรีธรรมราช!J315"")"),0)</f>
        <v>0</v>
      </c>
      <c r="K420" s="294">
        <f t="shared" ca="1" si="113"/>
        <v>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IFERROR(__xludf.DUMMYFUNCTION("IMPORTRANGE(""https://docs.google.com/spreadsheets/d/1IYY_tgx_IHuhSq3AJ5eI5OnqOPBNLWSHKh2a30DoXe8/edit?usp=sharing"",""นครศรีธรรมราช!I316"")"),20)</f>
        <v>20</v>
      </c>
      <c r="J421" s="398">
        <f ca="1">IFERROR(__xludf.DUMMYFUNCTION("IMPORTRANGE(""https://docs.google.com/spreadsheets/d/1IYY_tgx_IHuhSq3AJ5eI5OnqOPBNLWSHKh2a30DoXe8/edit?usp=sharing"",""นครศรีธรรมราช!J316"")"),20)</f>
        <v>20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IFERROR(__xludf.DUMMYFUNCTION("IMPORTRANGE(""https://docs.google.com/spreadsheets/d/1IYY_tgx_IHuhSq3AJ5eI5OnqOPBNLWSHKh2a30DoXe8/edit?usp=sharing"",""นครศรีธรรมราช!I317"")"),60)</f>
        <v>60</v>
      </c>
      <c r="J422" s="399">
        <f ca="1">IFERROR(__xludf.DUMMYFUNCTION("IMPORTRANGE(""https://docs.google.com/spreadsheets/d/1IYY_tgx_IHuhSq3AJ5eI5OnqOPBNLWSHKh2a30DoXe8/edit?usp=sharing"",""นครศรีธรรมราช!J317"")"),60)</f>
        <v>60</v>
      </c>
      <c r="K422" s="208">
        <f t="shared" ca="1" si="113"/>
        <v>100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IFERROR(__xludf.DUMMYFUNCTION("IMPORTRANGE(""https://docs.google.com/spreadsheets/d/1IYY_tgx_IHuhSq3AJ5eI5OnqOPBNLWSHKh2a30DoXe8/edit?usp=sharing"",""นครศรีธรรมราช!I318"")"),20)</f>
        <v>20</v>
      </c>
      <c r="J423" s="400">
        <f ca="1">IFERROR(__xludf.DUMMYFUNCTION("IMPORTRANGE(""https://docs.google.com/spreadsheets/d/1IYY_tgx_IHuhSq3AJ5eI5OnqOPBNLWSHKh2a30DoXe8/edit?usp=sharing"",""นครศรีธรรมราช!J318"")"),20)</f>
        <v>20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IFERROR(__xludf.DUMMYFUNCTION("IMPORTRANGE(""https://docs.google.com/spreadsheets/d/1IYY_tgx_IHuhSq3AJ5eI5OnqOPBNLWSHKh2a30DoXe8/edit?usp=sharing"",""นครศรีธรรมราช!I319"")"),20)</f>
        <v>20</v>
      </c>
      <c r="J424" s="400">
        <f ca="1">IFERROR(__xludf.DUMMYFUNCTION("IMPORTRANGE(""https://docs.google.com/spreadsheets/d/1IYY_tgx_IHuhSq3AJ5eI5OnqOPBNLWSHKh2a30DoXe8/edit?usp=sharing"",""นครศรีธรรมราช!J319"")"),20)</f>
        <v>20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IFERROR(__xludf.DUMMYFUNCTION("IMPORTRANGE(""https://docs.google.com/spreadsheets/d/1IYY_tgx_IHuhSq3AJ5eI5OnqOPBNLWSHKh2a30DoXe8/edit?usp=sharing"",""นครศรีธรรมราช!I320"")"),20)</f>
        <v>20</v>
      </c>
      <c r="J425" s="400">
        <f ca="1">IFERROR(__xludf.DUMMYFUNCTION("IMPORTRANGE(""https://docs.google.com/spreadsheets/d/1IYY_tgx_IHuhSq3AJ5eI5OnqOPBNLWSHKh2a30DoXe8/edit?usp=sharing"",""นครศรีธรรมราช!J320"")"),20)</f>
        <v>20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IFERROR(__xludf.DUMMYFUNCTION("IMPORTRANGE(""https://docs.google.com/spreadsheets/d/1IYY_tgx_IHuhSq3AJ5eI5OnqOPBNLWSHKh2a30DoXe8/edit?usp=sharing"",""นครศรีธรรมราช!I321"")"),20)</f>
        <v>20</v>
      </c>
      <c r="J426" s="398">
        <f ca="1">IFERROR(__xludf.DUMMYFUNCTION("IMPORTRANGE(""https://docs.google.com/spreadsheets/d/1IYY_tgx_IHuhSq3AJ5eI5OnqOPBNLWSHKh2a30DoXe8/edit?usp=sharing"",""นครศรีธรรมราช!J321"")"),20)</f>
        <v>20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IFERROR(__xludf.DUMMYFUNCTION("IMPORTRANGE(""https://docs.google.com/spreadsheets/d/1IYY_tgx_IHuhSq3AJ5eI5OnqOPBNLWSHKh2a30DoXe8/edit?usp=sharing"",""นครศรีธรรมราช!I322"")"),60)</f>
        <v>60</v>
      </c>
      <c r="J427" s="399">
        <f ca="1">IFERROR(__xludf.DUMMYFUNCTION("IMPORTRANGE(""https://docs.google.com/spreadsheets/d/1IYY_tgx_IHuhSq3AJ5eI5OnqOPBNLWSHKh2a30DoXe8/edit?usp=sharing"",""นครศรีธรรมราช!J322"")"),60)</f>
        <v>60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IFERROR(__xludf.DUMMYFUNCTION("IMPORTRANGE(""https://docs.google.com/spreadsheets/d/1IYY_tgx_IHuhSq3AJ5eI5OnqOPBNLWSHKh2a30DoXe8/edit?usp=sharing"",""นครศรีธรรมราช!I323"")"),20)</f>
        <v>20</v>
      </c>
      <c r="J428" s="400">
        <f ca="1">IFERROR(__xludf.DUMMYFUNCTION("IMPORTRANGE(""https://docs.google.com/spreadsheets/d/1IYY_tgx_IHuhSq3AJ5eI5OnqOPBNLWSHKh2a30DoXe8/edit?usp=sharing"",""นครศรีธรรมราช!J323"")"),20)</f>
        <v>20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IFERROR(__xludf.DUMMYFUNCTION("IMPORTRANGE(""https://docs.google.com/spreadsheets/d/1IYY_tgx_IHuhSq3AJ5eI5OnqOPBNLWSHKh2a30DoXe8/edit?usp=sharing"",""นครศรีธรรมราช!I324"")"),20)</f>
        <v>20</v>
      </c>
      <c r="J429" s="400">
        <f ca="1">IFERROR(__xludf.DUMMYFUNCTION("IMPORTRANGE(""https://docs.google.com/spreadsheets/d/1IYY_tgx_IHuhSq3AJ5eI5OnqOPBNLWSHKh2a30DoXe8/edit?usp=sharing"",""นครศรีธรรมราช!J324"")"),20)</f>
        <v>20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IFERROR(__xludf.DUMMYFUNCTION("IMPORTRANGE(""https://docs.google.com/spreadsheets/d/1IYY_tgx_IHuhSq3AJ5eI5OnqOPBNLWSHKh2a30DoXe8/edit?usp=sharing"",""นครศรีธรรมราช!I325"")"),20)</f>
        <v>20</v>
      </c>
      <c r="J430" s="398">
        <f ca="1">IFERROR(__xludf.DUMMYFUNCTION("IMPORTRANGE(""https://docs.google.com/spreadsheets/d/1IYY_tgx_IHuhSq3AJ5eI5OnqOPBNLWSHKh2a30DoXe8/edit?usp=sharing"",""นครศรีธรรมราช!J325"")"),0)</f>
        <v>0</v>
      </c>
      <c r="K430" s="208">
        <f t="shared" ca="1" si="113"/>
        <v>0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IFERROR(__xludf.DUMMYFUNCTION("IMPORTRANGE(""https://docs.google.com/spreadsheets/d/1IYY_tgx_IHuhSq3AJ5eI5OnqOPBNLWSHKh2a30DoXe8/edit?usp=sharing"",""นครศรีธรรมราช!I326"")"),0)</f>
        <v>0</v>
      </c>
      <c r="J431" s="400">
        <f ca="1">IFERROR(__xludf.DUMMYFUNCTION("IMPORTRANGE(""https://docs.google.com/spreadsheets/d/1IYY_tgx_IHuhSq3AJ5eI5OnqOPBNLWSHKh2a30DoXe8/edit?usp=sharing"",""นครศรีธรรมราช!J326"")"),0)</f>
        <v>0</v>
      </c>
      <c r="K431" s="167">
        <f t="shared" ca="1" si="113"/>
        <v>0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IFERROR(__xludf.DUMMYFUNCTION("IMPORTRANGE(""https://docs.google.com/spreadsheets/d/1IYY_tgx_IHuhSq3AJ5eI5OnqOPBNLWSHKh2a30DoXe8/edit?usp=sharing"",""นครศรีธรรมราช!I327"")"),20)</f>
        <v>20</v>
      </c>
      <c r="J432" s="400">
        <f ca="1">IFERROR(__xludf.DUMMYFUNCTION("IMPORTRANGE(""https://docs.google.com/spreadsheets/d/1IYY_tgx_IHuhSq3AJ5eI5OnqOPBNLWSHKh2a30DoXe8/edit?usp=sharing"",""นครศรีธรรมราช!J327"")"),0)</f>
        <v>0</v>
      </c>
      <c r="K432" s="167">
        <f t="shared" ca="1" si="113"/>
        <v>0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IFERROR(__xludf.DUMMYFUNCTION("IMPORTRANGE(""https://docs.google.com/spreadsheets/d/1IYY_tgx_IHuhSq3AJ5eI5OnqOPBNLWSHKh2a30DoXe8/edit?usp=sharing"",""นครศรีธรรมราช!J328"")"),0)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IFERROR(__xludf.DUMMYFUNCTION("IMPORTRANGE(""https://docs.google.com/spreadsheets/d/1IYY_tgx_IHuhSq3AJ5eI5OnqOPBNLWSHKh2a30DoXe8/edit?usp=sharing"",""นครศรีธรรมราช!J329"")"),0)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IFERROR(__xludf.DUMMYFUNCTION("IMPORTRANGE(""https://docs.google.com/spreadsheets/d/1IYY_tgx_IHuhSq3AJ5eI5OnqOPBNLWSHKh2a30DoXe8/edit?usp=sharing"",""นครศรีธรรมราช!I330"")"),15)</f>
        <v>15</v>
      </c>
      <c r="J435" s="416">
        <f ca="1">IFERROR(__xludf.DUMMYFUNCTION("IMPORTRANGE(""https://docs.google.com/spreadsheets/d/1IYY_tgx_IHuhSq3AJ5eI5OnqOPBNLWSHKh2a30DoXe8/edit?usp=sharing"",""นครศรีธรรมราช!J330"")"),15)</f>
        <v>15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IFERROR(__xludf.DUMMYFUNCTION("IMPORTRANGE(""https://docs.google.com/spreadsheets/d/1IYY_tgx_IHuhSq3AJ5eI5OnqOPBNLWSHKh2a30DoXe8/edit?usp=sharing"",""นครศรีธรรมราช!L330"")"),88000)</f>
        <v>88000</v>
      </c>
      <c r="M435" s="418"/>
      <c r="N435" s="418">
        <f ca="1">IFERROR(__xludf.DUMMYFUNCTION("IMPORTRANGE(""https://docs.google.com/spreadsheets/d/1IYY_tgx_IHuhSq3AJ5eI5OnqOPBNLWSHKh2a30DoXe8/edit?usp=sharing"",""นครศรีธรรมราช!M330"")"),80307)</f>
        <v>80307</v>
      </c>
      <c r="O435" s="418">
        <f t="shared" ref="O435:O439" ca="1" si="114">+IF(L435&gt;0,N435*100/L435,0)</f>
        <v>91.257954545454552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IFERROR(__xludf.DUMMYFUNCTION("IMPORTRANGE(""https://docs.google.com/spreadsheets/d/1IYY_tgx_IHuhSq3AJ5eI5OnqOPBNLWSHKh2a30DoXe8/edit?usp=sharing"",""นครศรีธรรมราช!L331"")"),0)</f>
        <v>0</v>
      </c>
      <c r="M436" s="168"/>
      <c r="N436" s="175">
        <f ca="1">IFERROR(__xludf.DUMMYFUNCTION("IMPORTRANGE(""https://docs.google.com/spreadsheets/d/1IYY_tgx_IHuhSq3AJ5eI5OnqOPBNLWSHKh2a30DoXe8/edit?usp=sharing"",""นครศรีธรรมราช!M331"")"),0)</f>
        <v>0</v>
      </c>
      <c r="O436" s="175">
        <f t="shared" ca="1" si="114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IFERROR(__xludf.DUMMYFUNCTION("IMPORTRANGE(""https://docs.google.com/spreadsheets/d/1IYY_tgx_IHuhSq3AJ5eI5OnqOPBNLWSHKh2a30DoXe8/edit?usp=sharing"",""นครศรีธรรมราช!L332"")"),88000)</f>
        <v>88000</v>
      </c>
      <c r="M437" s="169"/>
      <c r="N437" s="175">
        <f ca="1">IFERROR(__xludf.DUMMYFUNCTION("IMPORTRANGE(""https://docs.google.com/spreadsheets/d/1IYY_tgx_IHuhSq3AJ5eI5OnqOPBNLWSHKh2a30DoXe8/edit?usp=sharing"",""นครศรีธรรมราช!M332"")"),80307)</f>
        <v>80307</v>
      </c>
      <c r="O437" s="175">
        <f t="shared" ca="1" si="114"/>
        <v>91.257954545454552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IFERROR(__xludf.DUMMYFUNCTION("IMPORTRANGE(""https://docs.google.com/spreadsheets/d/1IYY_tgx_IHuhSq3AJ5eI5OnqOPBNLWSHKh2a30DoXe8/edit?usp=sharing"",""นครศรีธรรมราช!L333"")"),0)</f>
        <v>0</v>
      </c>
      <c r="M438" s="175"/>
      <c r="N438" s="175">
        <f ca="1">IFERROR(__xludf.DUMMYFUNCTION("IMPORTRANGE(""https://docs.google.com/spreadsheets/d/1IYY_tgx_IHuhSq3AJ5eI5OnqOPBNLWSHKh2a30DoXe8/edit?usp=sharing"",""นครศรีธรรมราช!M333"")"),0)</f>
        <v>0</v>
      </c>
      <c r="O438" s="175">
        <f t="shared" ca="1" si="114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IFERROR(__xludf.DUMMYFUNCTION("IMPORTRANGE(""https://docs.google.com/spreadsheets/d/1IYY_tgx_IHuhSq3AJ5eI5OnqOPBNLWSHKh2a30DoXe8/edit?usp=sharing"",""นครศรีธรรมราช!L334"")"),88000)</f>
        <v>88000</v>
      </c>
      <c r="M439" s="175"/>
      <c r="N439" s="175">
        <f ca="1">IFERROR(__xludf.DUMMYFUNCTION("IMPORTRANGE(""https://docs.google.com/spreadsheets/d/1IYY_tgx_IHuhSq3AJ5eI5OnqOPBNLWSHKh2a30DoXe8/edit?usp=sharing"",""นครศรีธรรมราช!M334"")"),80307)</f>
        <v>80307</v>
      </c>
      <c r="O439" s="175">
        <f t="shared" ca="1" si="114"/>
        <v>91.257954545454552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IFERROR(__xludf.DUMMYFUNCTION("IMPORTRANGE(""https://docs.google.com/spreadsheets/d/1IYY_tgx_IHuhSq3AJ5eI5OnqOPBNLWSHKh2a30DoXe8/edit?usp=sharing"",""นครศรีธรรมราช!M335"")"),52303)</f>
        <v>52303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IFERROR(__xludf.DUMMYFUNCTION("IMPORTRANGE(""https://docs.google.com/spreadsheets/d/1IYY_tgx_IHuhSq3AJ5eI5OnqOPBNLWSHKh2a30DoXe8/edit?usp=sharing"",""นครศรีธรรมราช!M336"")"),0)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IFERROR(__xludf.DUMMYFUNCTION("IMPORTRANGE(""https://docs.google.com/spreadsheets/d/1IYY_tgx_IHuhSq3AJ5eI5OnqOPBNLWSHKh2a30DoXe8/edit?usp=sharing"",""นครศรีธรรมราช!M337"")"),0)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IFERROR(__xludf.DUMMYFUNCTION("IMPORTRANGE(""https://docs.google.com/spreadsheets/d/1IYY_tgx_IHuhSq3AJ5eI5OnqOPBNLWSHKh2a30DoXe8/edit?usp=sharing"",""นครศรีธรรมราช!M338"")"),28004)</f>
        <v>28004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IFERROR(__xludf.DUMMYFUNCTION("IMPORTRANGE(""https://docs.google.com/spreadsheets/d/1IYY_tgx_IHuhSq3AJ5eI5OnqOPBNLWSHKh2a30DoXe8/edit?usp=sharing"",""นครศรีธรรมราช!J340"")"),0)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IFERROR(__xludf.DUMMYFUNCTION("IMPORTRANGE(""https://docs.google.com/spreadsheets/d/1IYY_tgx_IHuhSq3AJ5eI5OnqOPBNLWSHKh2a30DoXe8/edit?usp=sharing"",""นครศรีธรรมราช!J341"")"),1)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IFERROR(__xludf.DUMMYFUNCTION("IMPORTRANGE(""https://docs.google.com/spreadsheets/d/1IYY_tgx_IHuhSq3AJ5eI5OnqOPBNLWSHKh2a30DoXe8/edit?usp=sharing"",""นครศรีธรรมราช!J342"")"),1)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IFERROR(__xludf.DUMMYFUNCTION("IMPORTRANGE(""https://docs.google.com/spreadsheets/d/1IYY_tgx_IHuhSq3AJ5eI5OnqOPBNLWSHKh2a30DoXe8/edit?usp=sharing"",""นครศรีธรรมราช!J343"")"),1)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IFERROR(__xludf.DUMMYFUNCTION("IMPORTRANGE(""https://docs.google.com/spreadsheets/d/1IYY_tgx_IHuhSq3AJ5eI5OnqOPBNLWSHKh2a30DoXe8/edit?usp=sharing"",""นครศรีธรรมราช!I344"")"),15)</f>
        <v>15</v>
      </c>
      <c r="J449" s="207">
        <f ca="1">IFERROR(__xludf.DUMMYFUNCTION("IMPORTRANGE(""https://docs.google.com/spreadsheets/d/1IYY_tgx_IHuhSq3AJ5eI5OnqOPBNLWSHKh2a30DoXe8/edit?usp=sharing"",""นครศรีธรรมราช!J344"")"),15)</f>
        <v>15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IFERROR(__xludf.DUMMYFUNCTION("IMPORTRANGE(""https://docs.google.com/spreadsheets/d/1IYY_tgx_IHuhSq3AJ5eI5OnqOPBNLWSHKh2a30DoXe8/edit?usp=sharing"",""นครศรีธรรมราช!I345"")"),15)</f>
        <v>15</v>
      </c>
      <c r="J450" s="195">
        <f ca="1">IFERROR(__xludf.DUMMYFUNCTION("IMPORTRANGE(""https://docs.google.com/spreadsheets/d/1IYY_tgx_IHuhSq3AJ5eI5OnqOPBNLWSHKh2a30DoXe8/edit?usp=sharing"",""นครศรีธรรมราช!J345"")"),15)</f>
        <v>15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IFERROR(__xludf.DUMMYFUNCTION("IMPORTRANGE(""https://docs.google.com/spreadsheets/d/1IYY_tgx_IHuhSq3AJ5eI5OnqOPBNLWSHKh2a30DoXe8/edit?usp=sharing"",""นครศรีธรรมราช!I346"")"),0)</f>
        <v>0</v>
      </c>
      <c r="J451" s="194">
        <f ca="1">IFERROR(__xludf.DUMMYFUNCTION("IMPORTRANGE(""https://docs.google.com/spreadsheets/d/1IYY_tgx_IHuhSq3AJ5eI5OnqOPBNLWSHKh2a30DoXe8/edit?usp=sharing"",""นครศรีธรรมราช!J346"")"),0)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IFERROR(__xludf.DUMMYFUNCTION("IMPORTRANGE(""https://docs.google.com/spreadsheets/d/1IYY_tgx_IHuhSq3AJ5eI5OnqOPBNLWSHKh2a30DoXe8/edit?usp=sharing"",""นครศรีธรรมราช!I347"")"),0)</f>
        <v>0</v>
      </c>
      <c r="J452" s="194">
        <f ca="1">IFERROR(__xludf.DUMMYFUNCTION("IMPORTRANGE(""https://docs.google.com/spreadsheets/d/1IYY_tgx_IHuhSq3AJ5eI5OnqOPBNLWSHKh2a30DoXe8/edit?usp=sharing"",""นครศรีธรรมราช!J347"")"),0)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IFERROR(__xludf.DUMMYFUNCTION("IMPORTRANGE(""https://docs.google.com/spreadsheets/d/1IYY_tgx_IHuhSq3AJ5eI5OnqOPBNLWSHKh2a30DoXe8/edit?usp=sharing"",""นครศรีธรรมราช!J348"")"),0)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IFERROR(__xludf.DUMMYFUNCTION("IMPORTRANGE(""https://docs.google.com/spreadsheets/d/1IYY_tgx_IHuhSq3AJ5eI5OnqOPBNLWSHKh2a30DoXe8/edit?usp=sharing"",""นครศรีธรรมราช!J349"")"),0)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IFERROR(__xludf.DUMMYFUNCTION("IMPORTRANGE(""https://docs.google.com/spreadsheets/d/1IYY_tgx_IHuhSq3AJ5eI5OnqOPBNLWSHKh2a30DoXe8/edit?usp=sharing"",""นครศรีธรรมราช!I350"")"),49838)</f>
        <v>49838</v>
      </c>
      <c r="J455" s="377">
        <f ca="1">IFERROR(__xludf.DUMMYFUNCTION("IMPORTRANGE(""https://docs.google.com/spreadsheets/d/1IYY_tgx_IHuhSq3AJ5eI5OnqOPBNLWSHKh2a30DoXe8/edit?usp=sharing"",""นครศรีธรรมราช!J350"")"),49838)</f>
        <v>49838</v>
      </c>
      <c r="K455" s="378">
        <f ca="1">IF(I455&gt;0,J455*100/I455,0)</f>
        <v>100</v>
      </c>
      <c r="L455" s="379">
        <f ca="1">IFERROR(__xludf.DUMMYFUNCTION("IMPORTRANGE(""https://docs.google.com/spreadsheets/d/1IYY_tgx_IHuhSq3AJ5eI5OnqOPBNLWSHKh2a30DoXe8/edit?usp=sharing"",""นครศรีธรรมราช!L350"")"),428204)</f>
        <v>428204</v>
      </c>
      <c r="M455" s="379"/>
      <c r="N455" s="379">
        <f ca="1">IFERROR(__xludf.DUMMYFUNCTION("IMPORTRANGE(""https://docs.google.com/spreadsheets/d/1IYY_tgx_IHuhSq3AJ5eI5OnqOPBNLWSHKh2a30DoXe8/edit?usp=sharing"",""นครศรีธรรมราช!M350"")"),293219)</f>
        <v>293219</v>
      </c>
      <c r="O455" s="379">
        <f t="shared" ref="O455:O459" ca="1" si="116">+IF(L455&gt;0,N455*100/L455,0)</f>
        <v>68.476473830230447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IFERROR(__xludf.DUMMYFUNCTION("IMPORTRANGE(""https://docs.google.com/spreadsheets/d/1IYY_tgx_IHuhSq3AJ5eI5OnqOPBNLWSHKh2a30DoXe8/edit?usp=sharing"",""นครศรีธรรมราช!L351"")"),0)</f>
        <v>0</v>
      </c>
      <c r="M456" s="168"/>
      <c r="N456" s="175">
        <f ca="1">IFERROR(__xludf.DUMMYFUNCTION("IMPORTRANGE(""https://docs.google.com/spreadsheets/d/1IYY_tgx_IHuhSq3AJ5eI5OnqOPBNLWSHKh2a30DoXe8/edit?usp=sharing"",""นครศรีธรรมราช!M351"")"),0)</f>
        <v>0</v>
      </c>
      <c r="O456" s="175">
        <f t="shared" ca="1" si="116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IFERROR(__xludf.DUMMYFUNCTION("IMPORTRANGE(""https://docs.google.com/spreadsheets/d/1IYY_tgx_IHuhSq3AJ5eI5OnqOPBNLWSHKh2a30DoXe8/edit?usp=sharing"",""นครศรีธรรมราช!L352"")"),428204)</f>
        <v>428204</v>
      </c>
      <c r="M457" s="169"/>
      <c r="N457" s="175">
        <f ca="1">IFERROR(__xludf.DUMMYFUNCTION("IMPORTRANGE(""https://docs.google.com/spreadsheets/d/1IYY_tgx_IHuhSq3AJ5eI5OnqOPBNLWSHKh2a30DoXe8/edit?usp=sharing"",""นครศรีธรรมราช!M352"")"),293219)</f>
        <v>293219</v>
      </c>
      <c r="O457" s="175">
        <f t="shared" ca="1" si="116"/>
        <v>68.476473830230447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IFERROR(__xludf.DUMMYFUNCTION("IMPORTRANGE(""https://docs.google.com/spreadsheets/d/1IYY_tgx_IHuhSq3AJ5eI5OnqOPBNLWSHKh2a30DoXe8/edit?usp=sharing"",""นครศรีธรรมราช!L353"")"),0)</f>
        <v>0</v>
      </c>
      <c r="M458" s="175"/>
      <c r="N458" s="175">
        <f ca="1">IFERROR(__xludf.DUMMYFUNCTION("IMPORTRANGE(""https://docs.google.com/spreadsheets/d/1IYY_tgx_IHuhSq3AJ5eI5OnqOPBNLWSHKh2a30DoXe8/edit?usp=sharing"",""นครศรีธรรมราช!M353"")"),0)</f>
        <v>0</v>
      </c>
      <c r="O458" s="175">
        <f t="shared" ca="1" si="116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IFERROR(__xludf.DUMMYFUNCTION("IMPORTRANGE(""https://docs.google.com/spreadsheets/d/1IYY_tgx_IHuhSq3AJ5eI5OnqOPBNLWSHKh2a30DoXe8/edit?usp=sharing"",""นครศรีธรรมราช!L354"")"),428204)</f>
        <v>428204</v>
      </c>
      <c r="M459" s="175"/>
      <c r="N459" s="175">
        <f ca="1">IFERROR(__xludf.DUMMYFUNCTION("IMPORTRANGE(""https://docs.google.com/spreadsheets/d/1IYY_tgx_IHuhSq3AJ5eI5OnqOPBNLWSHKh2a30DoXe8/edit?usp=sharing"",""นครศรีธรรมราช!M354"")"),293219)</f>
        <v>293219</v>
      </c>
      <c r="O459" s="175">
        <f t="shared" ca="1" si="116"/>
        <v>68.476473830230447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IFERROR(__xludf.DUMMYFUNCTION("IMPORTRANGE(""https://docs.google.com/spreadsheets/d/1IYY_tgx_IHuhSq3AJ5eI5OnqOPBNLWSHKh2a30DoXe8/edit?usp=sharing"",""นครศรีธรรมราช!M355"")"),0)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IFERROR(__xludf.DUMMYFUNCTION("IMPORTRANGE(""https://docs.google.com/spreadsheets/d/1IYY_tgx_IHuhSq3AJ5eI5OnqOPBNLWSHKh2a30DoXe8/edit?usp=sharing"",""นครศรีธรรมราช!M356"")"),0)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IFERROR(__xludf.DUMMYFUNCTION("IMPORTRANGE(""https://docs.google.com/spreadsheets/d/1IYY_tgx_IHuhSq3AJ5eI5OnqOPBNLWSHKh2a30DoXe8/edit?usp=sharing"",""นครศรีธรรมราช!M357"")"),101117.2)</f>
        <v>101117.2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IFERROR(__xludf.DUMMYFUNCTION("IMPORTRANGE(""https://docs.google.com/spreadsheets/d/1IYY_tgx_IHuhSq3AJ5eI5OnqOPBNLWSHKh2a30DoXe8/edit?usp=sharing"",""นครศรีธรรมราช!M358"")"),192101.8)</f>
        <v>192101.8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IFERROR(__xludf.DUMMYFUNCTION("IMPORTRANGE(""https://docs.google.com/spreadsheets/d/1IYY_tgx_IHuhSq3AJ5eI5OnqOPBNLWSHKh2a30DoXe8/edit?usp=sharing"",""นครศรีธรรมราช!I359"")"),49838)</f>
        <v>49838</v>
      </c>
      <c r="J464" s="273">
        <f ca="1">IFERROR(__xludf.DUMMYFUNCTION("IMPORTRANGE(""https://docs.google.com/spreadsheets/d/1IYY_tgx_IHuhSq3AJ5eI5OnqOPBNLWSHKh2a30DoXe8/edit?usp=sharing"",""นครศรีธรรมราช!J359"")"),49838)</f>
        <v>49838</v>
      </c>
      <c r="K464" s="274">
        <f t="shared" ref="K464:K515" ca="1" si="117">IF(I464&gt;0,J464*100/I464,0)</f>
        <v>100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IFERROR(__xludf.DUMMYFUNCTION("IMPORTRANGE(""https://docs.google.com/spreadsheets/d/1IYY_tgx_IHuhSq3AJ5eI5OnqOPBNLWSHKh2a30DoXe8/edit?usp=sharing"",""นครศรีธรรมราช!I360"")"),49838)</f>
        <v>49838</v>
      </c>
      <c r="J465" s="426">
        <f ca="1">IFERROR(__xludf.DUMMYFUNCTION("IMPORTRANGE(""https://docs.google.com/spreadsheets/d/1IYY_tgx_IHuhSq3AJ5eI5OnqOPBNLWSHKh2a30DoXe8/edit?usp=sharing"",""นครศรีธรรมราช!J360"")"),49838)</f>
        <v>49838</v>
      </c>
      <c r="K465" s="208">
        <f t="shared" ca="1" si="117"/>
        <v>100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IFERROR(__xludf.DUMMYFUNCTION("IMPORTRANGE(""https://docs.google.com/spreadsheets/d/1IYY_tgx_IHuhSq3AJ5eI5OnqOPBNLWSHKh2a30DoXe8/edit?usp=sharing"",""นครศรีธรรมราช!I361"")"),6576)</f>
        <v>6576</v>
      </c>
      <c r="J466" s="426">
        <f ca="1">IFERROR(__xludf.DUMMYFUNCTION("IMPORTRANGE(""https://docs.google.com/spreadsheets/d/1IYY_tgx_IHuhSq3AJ5eI5OnqOPBNLWSHKh2a30DoXe8/edit?usp=sharing"",""นครศรีธรรมราช!J361"")"),6576)</f>
        <v>6576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IFERROR(__xludf.DUMMYFUNCTION("IMPORTRANGE(""https://docs.google.com/spreadsheets/d/1IYY_tgx_IHuhSq3AJ5eI5OnqOPBNLWSHKh2a30DoXe8/edit?usp=sharing"",""นครศรีธรรมราช!I362"")"),0)</f>
        <v>0</v>
      </c>
      <c r="J467" s="195">
        <f ca="1">IFERROR(__xludf.DUMMYFUNCTION("IMPORTRANGE(""https://docs.google.com/spreadsheets/d/1IYY_tgx_IHuhSq3AJ5eI5OnqOPBNLWSHKh2a30DoXe8/edit?usp=sharing"",""นครศรีธรรมราช!J362"")"),48142)</f>
        <v>48142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IFERROR(__xludf.DUMMYFUNCTION("IMPORTRANGE(""https://docs.google.com/spreadsheets/d/1IYY_tgx_IHuhSq3AJ5eI5OnqOPBNLWSHKh2a30DoXe8/edit?usp=sharing"",""นครศรีธรรมราช!I363"")"),0)</f>
        <v>0</v>
      </c>
      <c r="J468" s="195">
        <f ca="1">IFERROR(__xludf.DUMMYFUNCTION("IMPORTRANGE(""https://docs.google.com/spreadsheets/d/1IYY_tgx_IHuhSq3AJ5eI5OnqOPBNLWSHKh2a30DoXe8/edit?usp=sharing"",""นครศรีธรรมราช!J363"")"),6368)</f>
        <v>6368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IFERROR(__xludf.DUMMYFUNCTION("IMPORTRANGE(""https://docs.google.com/spreadsheets/d/1IYY_tgx_IHuhSq3AJ5eI5OnqOPBNLWSHKh2a30DoXe8/edit?usp=sharing"",""นครศรีธรรมราช!I364"")"),0)</f>
        <v>0</v>
      </c>
      <c r="J469" s="195">
        <f ca="1">IFERROR(__xludf.DUMMYFUNCTION("IMPORTRANGE(""https://docs.google.com/spreadsheets/d/1IYY_tgx_IHuhSq3AJ5eI5OnqOPBNLWSHKh2a30DoXe8/edit?usp=sharing"",""นครศรีธรรมราช!J364"")"),1097)</f>
        <v>1097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IFERROR(__xludf.DUMMYFUNCTION("IMPORTRANGE(""https://docs.google.com/spreadsheets/d/1IYY_tgx_IHuhSq3AJ5eI5OnqOPBNLWSHKh2a30DoXe8/edit?usp=sharing"",""นครศรีธรรมราช!I365"")"),0)</f>
        <v>0</v>
      </c>
      <c r="J470" s="195">
        <f ca="1">IFERROR(__xludf.DUMMYFUNCTION("IMPORTRANGE(""https://docs.google.com/spreadsheets/d/1IYY_tgx_IHuhSq3AJ5eI5OnqOPBNLWSHKh2a30DoXe8/edit?usp=sharing"",""นครศรีธรรมราช!J365"")"),143)</f>
        <v>143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IFERROR(__xludf.DUMMYFUNCTION("IMPORTRANGE(""https://docs.google.com/spreadsheets/d/1IYY_tgx_IHuhSq3AJ5eI5OnqOPBNLWSHKh2a30DoXe8/edit?usp=sharing"",""นครศรีธรรมราช!I366"")"),0)</f>
        <v>0</v>
      </c>
      <c r="J471" s="195">
        <f ca="1">IFERROR(__xludf.DUMMYFUNCTION("IMPORTRANGE(""https://docs.google.com/spreadsheets/d/1IYY_tgx_IHuhSq3AJ5eI5OnqOPBNLWSHKh2a30DoXe8/edit?usp=sharing"",""นครศรีธรรมราช!J366"")"),599)</f>
        <v>599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IFERROR(__xludf.DUMMYFUNCTION("IMPORTRANGE(""https://docs.google.com/spreadsheets/d/1IYY_tgx_IHuhSq3AJ5eI5OnqOPBNLWSHKh2a30DoXe8/edit?usp=sharing"",""นครศรีธรรมราช!I367"")"),0)</f>
        <v>0</v>
      </c>
      <c r="J472" s="195">
        <f ca="1">IFERROR(__xludf.DUMMYFUNCTION("IMPORTRANGE(""https://docs.google.com/spreadsheets/d/1IYY_tgx_IHuhSq3AJ5eI5OnqOPBNLWSHKh2a30DoXe8/edit?usp=sharing"",""นครศรีธรรมราช!J367"")"),65)</f>
        <v>65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IFERROR(__xludf.DUMMYFUNCTION("IMPORTRANGE(""https://docs.google.com/spreadsheets/d/1IYY_tgx_IHuhSq3AJ5eI5OnqOPBNLWSHKh2a30DoXe8/edit?usp=sharing"",""นครศรีธรรมราช!I368"")"),49838)</f>
        <v>49838</v>
      </c>
      <c r="J473" s="426">
        <f ca="1">IFERROR(__xludf.DUMMYFUNCTION("IMPORTRANGE(""https://docs.google.com/spreadsheets/d/1IYY_tgx_IHuhSq3AJ5eI5OnqOPBNLWSHKh2a30DoXe8/edit?usp=sharing"",""นครศรีธรรมราช!J368"")"),49838)</f>
        <v>49838</v>
      </c>
      <c r="K473" s="208">
        <f t="shared" ca="1" si="117"/>
        <v>100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IFERROR(__xludf.DUMMYFUNCTION("IMPORTRANGE(""https://docs.google.com/spreadsheets/d/1IYY_tgx_IHuhSq3AJ5eI5OnqOPBNLWSHKh2a30DoXe8/edit?usp=sharing"",""นครศรีธรรมราช!I369"")"),6576)</f>
        <v>6576</v>
      </c>
      <c r="J474" s="426">
        <f ca="1">IFERROR(__xludf.DUMMYFUNCTION("IMPORTRANGE(""https://docs.google.com/spreadsheets/d/1IYY_tgx_IHuhSq3AJ5eI5OnqOPBNLWSHKh2a30DoXe8/edit?usp=sharing"",""นครศรีธรรมราช!J369"")"),6576)</f>
        <v>6576</v>
      </c>
      <c r="K474" s="208">
        <f t="shared" ca="1" si="117"/>
        <v>100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IFERROR(__xludf.DUMMYFUNCTION("IMPORTRANGE(""https://docs.google.com/spreadsheets/d/1IYY_tgx_IHuhSq3AJ5eI5OnqOPBNLWSHKh2a30DoXe8/edit?usp=sharing"",""นครศรีธรรมราช!I370"")"),0)</f>
        <v>0</v>
      </c>
      <c r="J475" s="195">
        <f ca="1">IFERROR(__xludf.DUMMYFUNCTION("IMPORTRANGE(""https://docs.google.com/spreadsheets/d/1IYY_tgx_IHuhSq3AJ5eI5OnqOPBNLWSHKh2a30DoXe8/edit?usp=sharing"",""นครศรีธรรมราช!J370"")"),48245)</f>
        <v>48245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IFERROR(__xludf.DUMMYFUNCTION("IMPORTRANGE(""https://docs.google.com/spreadsheets/d/1IYY_tgx_IHuhSq3AJ5eI5OnqOPBNLWSHKh2a30DoXe8/edit?usp=sharing"",""นครศรีธรรมราช!I371"")"),0)</f>
        <v>0</v>
      </c>
      <c r="J476" s="195">
        <f ca="1">IFERROR(__xludf.DUMMYFUNCTION("IMPORTRANGE(""https://docs.google.com/spreadsheets/d/1IYY_tgx_IHuhSq3AJ5eI5OnqOPBNLWSHKh2a30DoXe8/edit?usp=sharing"",""นครศรีธรรมราช!J371"")"),6380)</f>
        <v>6380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IFERROR(__xludf.DUMMYFUNCTION("IMPORTRANGE(""https://docs.google.com/spreadsheets/d/1IYY_tgx_IHuhSq3AJ5eI5OnqOPBNLWSHKh2a30DoXe8/edit?usp=sharing"",""นครศรีธรรมราช!I372"")"),0)</f>
        <v>0</v>
      </c>
      <c r="J477" s="195">
        <f ca="1">IFERROR(__xludf.DUMMYFUNCTION("IMPORTRANGE(""https://docs.google.com/spreadsheets/d/1IYY_tgx_IHuhSq3AJ5eI5OnqOPBNLWSHKh2a30DoXe8/edit?usp=sharing"",""นครศรีธรรมราช!J372"")"),952)</f>
        <v>952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IFERROR(__xludf.DUMMYFUNCTION("IMPORTRANGE(""https://docs.google.com/spreadsheets/d/1IYY_tgx_IHuhSq3AJ5eI5OnqOPBNLWSHKh2a30DoXe8/edit?usp=sharing"",""นครศรีธรรมราช!I373"")"),0)</f>
        <v>0</v>
      </c>
      <c r="J478" s="195">
        <f ca="1">IFERROR(__xludf.DUMMYFUNCTION("IMPORTRANGE(""https://docs.google.com/spreadsheets/d/1IYY_tgx_IHuhSq3AJ5eI5OnqOPBNLWSHKh2a30DoXe8/edit?usp=sharing"",""นครศรีธรรมราช!J373"")"),128)</f>
        <v>128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IFERROR(__xludf.DUMMYFUNCTION("IMPORTRANGE(""https://docs.google.com/spreadsheets/d/1IYY_tgx_IHuhSq3AJ5eI5OnqOPBNLWSHKh2a30DoXe8/edit?usp=sharing"",""นครศรีธรรมราช!I374"")"),0)</f>
        <v>0</v>
      </c>
      <c r="J479" s="195">
        <f ca="1">IFERROR(__xludf.DUMMYFUNCTION("IMPORTRANGE(""https://docs.google.com/spreadsheets/d/1IYY_tgx_IHuhSq3AJ5eI5OnqOPBNLWSHKh2a30DoXe8/edit?usp=sharing"",""นครศรีธรรมราช!J374"")"),641)</f>
        <v>641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IFERROR(__xludf.DUMMYFUNCTION("IMPORTRANGE(""https://docs.google.com/spreadsheets/d/1IYY_tgx_IHuhSq3AJ5eI5OnqOPBNLWSHKh2a30DoXe8/edit?usp=sharing"",""นครศรีธรรมราช!I375"")"),0)</f>
        <v>0</v>
      </c>
      <c r="J480" s="195">
        <f ca="1">IFERROR(__xludf.DUMMYFUNCTION("IMPORTRANGE(""https://docs.google.com/spreadsheets/d/1IYY_tgx_IHuhSq3AJ5eI5OnqOPBNLWSHKh2a30DoXe8/edit?usp=sharing"",""นครศรีธรรมราช!J375"")"),68)</f>
        <v>68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IFERROR(__xludf.DUMMYFUNCTION("IMPORTRANGE(""https://docs.google.com/spreadsheets/d/1IYY_tgx_IHuhSq3AJ5eI5OnqOPBNLWSHKh2a30DoXe8/edit?usp=sharing"",""นครศรีธรรมราช!I376"")"),49838)</f>
        <v>49838</v>
      </c>
      <c r="J481" s="426">
        <f ca="1">IFERROR(__xludf.DUMMYFUNCTION("IMPORTRANGE(""https://docs.google.com/spreadsheets/d/1IYY_tgx_IHuhSq3AJ5eI5OnqOPBNLWSHKh2a30DoXe8/edit?usp=sharing"",""นครศรีธรรมราช!J376"")"),49838)</f>
        <v>49838</v>
      </c>
      <c r="K481" s="208">
        <f t="shared" ca="1" si="117"/>
        <v>100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IFERROR(__xludf.DUMMYFUNCTION("IMPORTRANGE(""https://docs.google.com/spreadsheets/d/1IYY_tgx_IHuhSq3AJ5eI5OnqOPBNLWSHKh2a30DoXe8/edit?usp=sharing"",""นครศรีธรรมราช!I377"")"),6576)</f>
        <v>6576</v>
      </c>
      <c r="J482" s="426">
        <f ca="1">IFERROR(__xludf.DUMMYFUNCTION("IMPORTRANGE(""https://docs.google.com/spreadsheets/d/1IYY_tgx_IHuhSq3AJ5eI5OnqOPBNLWSHKh2a30DoXe8/edit?usp=sharing"",""นครศรีธรรมราช!J377"")"),6576)</f>
        <v>6576</v>
      </c>
      <c r="K482" s="208">
        <f t="shared" ca="1" si="117"/>
        <v>100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IFERROR(__xludf.DUMMYFUNCTION("IMPORTRANGE(""https://docs.google.com/spreadsheets/d/1IYY_tgx_IHuhSq3AJ5eI5OnqOPBNLWSHKh2a30DoXe8/edit?usp=sharing"",""นครศรีธรรมราช!I378"")"),0)</f>
        <v>0</v>
      </c>
      <c r="J483" s="195">
        <f ca="1">IFERROR(__xludf.DUMMYFUNCTION("IMPORTRANGE(""https://docs.google.com/spreadsheets/d/1IYY_tgx_IHuhSq3AJ5eI5OnqOPBNLWSHKh2a30DoXe8/edit?usp=sharing"",""นครศรีธรรมราช!J378"")"),49076)</f>
        <v>49076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IFERROR(__xludf.DUMMYFUNCTION("IMPORTRANGE(""https://docs.google.com/spreadsheets/d/1IYY_tgx_IHuhSq3AJ5eI5OnqOPBNLWSHKh2a30DoXe8/edit?usp=sharing"",""นครศรีธรรมราช!I379"")"),0)</f>
        <v>0</v>
      </c>
      <c r="J484" s="195">
        <f ca="1">IFERROR(__xludf.DUMMYFUNCTION("IMPORTRANGE(""https://docs.google.com/spreadsheets/d/1IYY_tgx_IHuhSq3AJ5eI5OnqOPBNLWSHKh2a30DoXe8/edit?usp=sharing"",""นครศรีธรรมราช!J379"")"),6480)</f>
        <v>6480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IFERROR(__xludf.DUMMYFUNCTION("IMPORTRANGE(""https://docs.google.com/spreadsheets/d/1IYY_tgx_IHuhSq3AJ5eI5OnqOPBNLWSHKh2a30DoXe8/edit?usp=sharing"",""นครศรีธรรมราช!I380"")"),0)</f>
        <v>0</v>
      </c>
      <c r="J485" s="195">
        <f ca="1">IFERROR(__xludf.DUMMYFUNCTION("IMPORTRANGE(""https://docs.google.com/spreadsheets/d/1IYY_tgx_IHuhSq3AJ5eI5OnqOPBNLWSHKh2a30DoXe8/edit?usp=sharing"",""นครศรีธรรมราช!J380"")"),7)</f>
        <v>7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IFERROR(__xludf.DUMMYFUNCTION("IMPORTRANGE(""https://docs.google.com/spreadsheets/d/1IYY_tgx_IHuhSq3AJ5eI5OnqOPBNLWSHKh2a30DoXe8/edit?usp=sharing"",""นครศรีธรรมราช!I381"")"),0)</f>
        <v>0</v>
      </c>
      <c r="J486" s="195">
        <f ca="1">IFERROR(__xludf.DUMMYFUNCTION("IMPORTRANGE(""https://docs.google.com/spreadsheets/d/1IYY_tgx_IHuhSq3AJ5eI5OnqOPBNLWSHKh2a30DoXe8/edit?usp=sharing"",""นครศรีธรรมราช!J381"")"),1)</f>
        <v>1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IFERROR(__xludf.DUMMYFUNCTION("IMPORTRANGE(""https://docs.google.com/spreadsheets/d/1IYY_tgx_IHuhSq3AJ5eI5OnqOPBNLWSHKh2a30DoXe8/edit?usp=sharing"",""นครศรีธรรมราช!I382"")"),0)</f>
        <v>0</v>
      </c>
      <c r="J487" s="426">
        <f ca="1">IFERROR(__xludf.DUMMYFUNCTION("IMPORTRANGE(""https://docs.google.com/spreadsheets/d/1IYY_tgx_IHuhSq3AJ5eI5OnqOPBNLWSHKh2a30DoXe8/edit?usp=sharing"",""นครศรีธรรมราช!J382"")"),564)</f>
        <v>564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IFERROR(__xludf.DUMMYFUNCTION("IMPORTRANGE(""https://docs.google.com/spreadsheets/d/1IYY_tgx_IHuhSq3AJ5eI5OnqOPBNLWSHKh2a30DoXe8/edit?usp=sharing"",""นครศรีธรรมราช!I383"")"),0)</f>
        <v>0</v>
      </c>
      <c r="J488" s="426">
        <f ca="1">IFERROR(__xludf.DUMMYFUNCTION("IMPORTRANGE(""https://docs.google.com/spreadsheets/d/1IYY_tgx_IHuhSq3AJ5eI5OnqOPBNLWSHKh2a30DoXe8/edit?usp=sharing"",""นครศรีธรรมราช!J383"")"),60)</f>
        <v>60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IFERROR(__xludf.DUMMYFUNCTION("IMPORTRANGE(""https://docs.google.com/spreadsheets/d/1IYY_tgx_IHuhSq3AJ5eI5OnqOPBNLWSHKh2a30DoXe8/edit?usp=sharing"",""นครศรีธรรมราช!I384"")"),0)</f>
        <v>0</v>
      </c>
      <c r="J489" s="195">
        <f ca="1">IFERROR(__xludf.DUMMYFUNCTION("IMPORTRANGE(""https://docs.google.com/spreadsheets/d/1IYY_tgx_IHuhSq3AJ5eI5OnqOPBNLWSHKh2a30DoXe8/edit?usp=sharing"",""นครศรีธรรมราช!J384"")"),564)</f>
        <v>564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IFERROR(__xludf.DUMMYFUNCTION("IMPORTRANGE(""https://docs.google.com/spreadsheets/d/1IYY_tgx_IHuhSq3AJ5eI5OnqOPBNLWSHKh2a30DoXe8/edit?usp=sharing"",""นครศรีธรรมราช!I385"")"),0)</f>
        <v>0</v>
      </c>
      <c r="J490" s="195">
        <f ca="1">IFERROR(__xludf.DUMMYFUNCTION("IMPORTRANGE(""https://docs.google.com/spreadsheets/d/1IYY_tgx_IHuhSq3AJ5eI5OnqOPBNLWSHKh2a30DoXe8/edit?usp=sharing"",""นครศรีธรรมราช!J385"")"),60)</f>
        <v>60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IFERROR(__xludf.DUMMYFUNCTION("IMPORTRANGE(""https://docs.google.com/spreadsheets/d/1IYY_tgx_IHuhSq3AJ5eI5OnqOPBNLWSHKh2a30DoXe8/edit?usp=sharing"",""นครศรีธรรมราช!I386"")"),0)</f>
        <v>0</v>
      </c>
      <c r="J491" s="195">
        <f ca="1">IFERROR(__xludf.DUMMYFUNCTION("IMPORTRANGE(""https://docs.google.com/spreadsheets/d/1IYY_tgx_IHuhSq3AJ5eI5OnqOPBNLWSHKh2a30DoXe8/edit?usp=sharing"",""นครศรีธรรมราช!J386"")"),0)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IFERROR(__xludf.DUMMYFUNCTION("IMPORTRANGE(""https://docs.google.com/spreadsheets/d/1IYY_tgx_IHuhSq3AJ5eI5OnqOPBNLWSHKh2a30DoXe8/edit?usp=sharing"",""นครศรีธรรมราช!I387"")"),0)</f>
        <v>0</v>
      </c>
      <c r="J492" s="195">
        <f ca="1">IFERROR(__xludf.DUMMYFUNCTION("IMPORTRANGE(""https://docs.google.com/spreadsheets/d/1IYY_tgx_IHuhSq3AJ5eI5OnqOPBNLWSHKh2a30DoXe8/edit?usp=sharing"",""นครศรีธรรมราช!J387"")"),0)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IFERROR(__xludf.DUMMYFUNCTION("IMPORTRANGE(""https://docs.google.com/spreadsheets/d/1IYY_tgx_IHuhSq3AJ5eI5OnqOPBNLWSHKh2a30DoXe8/edit?usp=sharing"",""นครศรีธรรมราช!I388"")"),0)</f>
        <v>0</v>
      </c>
      <c r="J493" s="195">
        <f ca="1">IFERROR(__xludf.DUMMYFUNCTION("IMPORTRANGE(""https://docs.google.com/spreadsheets/d/1IYY_tgx_IHuhSq3AJ5eI5OnqOPBNLWSHKh2a30DoXe8/edit?usp=sharing"",""นครศรีธรรมราช!J388"")"),191)</f>
        <v>191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IFERROR(__xludf.DUMMYFUNCTION("IMPORTRANGE(""https://docs.google.com/spreadsheets/d/1IYY_tgx_IHuhSq3AJ5eI5OnqOPBNLWSHKh2a30DoXe8/edit?usp=sharing"",""นครศรีธรรมราช!I389"")"),0)</f>
        <v>0</v>
      </c>
      <c r="J494" s="442">
        <f ca="1">IFERROR(__xludf.DUMMYFUNCTION("IMPORTRANGE(""https://docs.google.com/spreadsheets/d/1IYY_tgx_IHuhSq3AJ5eI5OnqOPBNLWSHKh2a30DoXe8/edit?usp=sharing"",""นครศรีธรรมราช!J389"")"),35)</f>
        <v>35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IFERROR(__xludf.DUMMYFUNCTION("IMPORTRANGE(""https://docs.google.com/spreadsheets/d/1IYY_tgx_IHuhSq3AJ5eI5OnqOPBNLWSHKh2a30DoXe8/edit?usp=sharing"",""นครศรีธรรมราช!I390"")"),0)</f>
        <v>0</v>
      </c>
      <c r="J495" s="442">
        <f ca="1">IFERROR(__xludf.DUMMYFUNCTION("IMPORTRANGE(""https://docs.google.com/spreadsheets/d/1IYY_tgx_IHuhSq3AJ5eI5OnqOPBNLWSHKh2a30DoXe8/edit?usp=sharing"",""นครศรีธรรมราช!J390"")"),0)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IFERROR(__xludf.DUMMYFUNCTION("IMPORTRANGE(""https://docs.google.com/spreadsheets/d/1IYY_tgx_IHuhSq3AJ5eI5OnqOPBNLWSHKh2a30DoXe8/edit?usp=sharing"",""นครศรีธรรมราช!I391"")"),0)</f>
        <v>0</v>
      </c>
      <c r="J496" s="442">
        <f ca="1">IFERROR(__xludf.DUMMYFUNCTION("IMPORTRANGE(""https://docs.google.com/spreadsheets/d/1IYY_tgx_IHuhSq3AJ5eI5OnqOPBNLWSHKh2a30DoXe8/edit?usp=sharing"",""นครศรีธรรมราช!J391"")"),0)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IFERROR(__xludf.DUMMYFUNCTION("IMPORTRANGE(""https://docs.google.com/spreadsheets/d/1IYY_tgx_IHuhSq3AJ5eI5OnqOPBNLWSHKh2a30DoXe8/edit?usp=sharing"",""นครศรีธรรมราช!I392"")"),0)</f>
        <v>0</v>
      </c>
      <c r="J497" s="449">
        <f ca="1">IFERROR(__xludf.DUMMYFUNCTION("IMPORTRANGE(""https://docs.google.com/spreadsheets/d/1IYY_tgx_IHuhSq3AJ5eI5OnqOPBNLWSHKh2a30DoXe8/edit?usp=sharing"",""นครศรีธรรมราช!J392"")"),0)</f>
        <v>0</v>
      </c>
      <c r="K497" s="450">
        <f t="shared" ca="1" si="117"/>
        <v>0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IFERROR(__xludf.DUMMYFUNCTION("IMPORTRANGE(""https://docs.google.com/spreadsheets/d/1IYY_tgx_IHuhSq3AJ5eI5OnqOPBNLWSHKh2a30DoXe8/edit?usp=sharing"",""นครศรีธรรมราช!I393"")"),0)</f>
        <v>0</v>
      </c>
      <c r="J498" s="426">
        <f ca="1">IFERROR(__xludf.DUMMYFUNCTION("IMPORTRANGE(""https://docs.google.com/spreadsheets/d/1IYY_tgx_IHuhSq3AJ5eI5OnqOPBNLWSHKh2a30DoXe8/edit?usp=sharing"",""นครศรีธรรมราช!J393"")"),0)</f>
        <v>0</v>
      </c>
      <c r="K498" s="167">
        <f t="shared" ca="1" si="117"/>
        <v>0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IFERROR(__xludf.DUMMYFUNCTION("IMPORTRANGE(""https://docs.google.com/spreadsheets/d/1IYY_tgx_IHuhSq3AJ5eI5OnqOPBNLWSHKh2a30DoXe8/edit?usp=sharing"",""นครศรีธรรมราช!I394"")"),0)</f>
        <v>0</v>
      </c>
      <c r="J499" s="426">
        <f ca="1">IFERROR(__xludf.DUMMYFUNCTION("IMPORTRANGE(""https://docs.google.com/spreadsheets/d/1IYY_tgx_IHuhSq3AJ5eI5OnqOPBNLWSHKh2a30DoXe8/edit?usp=sharing"",""นครศรีธรรมราช!J394"")"),0)</f>
        <v>0</v>
      </c>
      <c r="K499" s="208">
        <f t="shared" ca="1" si="117"/>
        <v>0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IFERROR(__xludf.DUMMYFUNCTION("IMPORTRANGE(""https://docs.google.com/spreadsheets/d/1IYY_tgx_IHuhSq3AJ5eI5OnqOPBNLWSHKh2a30DoXe8/edit?usp=sharing"",""นครศรีธรรมราช!I395"")"),0)</f>
        <v>0</v>
      </c>
      <c r="J500" s="166">
        <f ca="1">IFERROR(__xludf.DUMMYFUNCTION("IMPORTRANGE(""https://docs.google.com/spreadsheets/d/1IYY_tgx_IHuhSq3AJ5eI5OnqOPBNLWSHKh2a30DoXe8/edit?usp=sharing"",""นครศรีธรรมราช!J395"")"),0)</f>
        <v>0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IFERROR(__xludf.DUMMYFUNCTION("IMPORTRANGE(""https://docs.google.com/spreadsheets/d/1IYY_tgx_IHuhSq3AJ5eI5OnqOPBNLWSHKh2a30DoXe8/edit?usp=sharing"",""นครศรีธรรมราช!I396"")"),0)</f>
        <v>0</v>
      </c>
      <c r="J501" s="166">
        <f ca="1">IFERROR(__xludf.DUMMYFUNCTION("IMPORTRANGE(""https://docs.google.com/spreadsheets/d/1IYY_tgx_IHuhSq3AJ5eI5OnqOPBNLWSHKh2a30DoXe8/edit?usp=sharing"",""นครศรีธรรมราช!J396"")"),0)</f>
        <v>0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IFERROR(__xludf.DUMMYFUNCTION("IMPORTRANGE(""https://docs.google.com/spreadsheets/d/1IYY_tgx_IHuhSq3AJ5eI5OnqOPBNLWSHKh2a30DoXe8/edit?usp=sharing"",""นครศรีธรรมราช!I397"")"),0)</f>
        <v>0</v>
      </c>
      <c r="J502" s="195">
        <f ca="1">IFERROR(__xludf.DUMMYFUNCTION("IMPORTRANGE(""https://docs.google.com/spreadsheets/d/1IYY_tgx_IHuhSq3AJ5eI5OnqOPBNLWSHKh2a30DoXe8/edit?usp=sharing"",""นครศรีธรรมราช!J397"")"),0)</f>
        <v>0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IFERROR(__xludf.DUMMYFUNCTION("IMPORTRANGE(""https://docs.google.com/spreadsheets/d/1IYY_tgx_IHuhSq3AJ5eI5OnqOPBNLWSHKh2a30DoXe8/edit?usp=sharing"",""นครศรีธรรมราช!I398"")"),0)</f>
        <v>0</v>
      </c>
      <c r="J503" s="204">
        <f ca="1">IFERROR(__xludf.DUMMYFUNCTION("IMPORTRANGE(""https://docs.google.com/spreadsheets/d/1IYY_tgx_IHuhSq3AJ5eI5OnqOPBNLWSHKh2a30DoXe8/edit?usp=sharing"",""นครศรีธรรมราช!J398"")"),0)</f>
        <v>0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IFERROR(__xludf.DUMMYFUNCTION("IMPORTRANGE(""https://docs.google.com/spreadsheets/d/1IYY_tgx_IHuhSq3AJ5eI5OnqOPBNLWSHKh2a30DoXe8/edit?usp=sharing"",""นครศรีธรรมราช!I399"")"),0)</f>
        <v>0</v>
      </c>
      <c r="J504" s="195">
        <f ca="1">IFERROR(__xludf.DUMMYFUNCTION("IMPORTRANGE(""https://docs.google.com/spreadsheets/d/1IYY_tgx_IHuhSq3AJ5eI5OnqOPBNLWSHKh2a30DoXe8/edit?usp=sharing"",""นครศรีธรรมราช!J399"")"),0)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IFERROR(__xludf.DUMMYFUNCTION("IMPORTRANGE(""https://docs.google.com/spreadsheets/d/1IYY_tgx_IHuhSq3AJ5eI5OnqOPBNLWSHKh2a30DoXe8/edit?usp=sharing"",""นครศรีธรรมราช!I400"")"),0)</f>
        <v>0</v>
      </c>
      <c r="J505" s="204">
        <f ca="1">IFERROR(__xludf.DUMMYFUNCTION("IMPORTRANGE(""https://docs.google.com/spreadsheets/d/1IYY_tgx_IHuhSq3AJ5eI5OnqOPBNLWSHKh2a30DoXe8/edit?usp=sharing"",""นครศรีธรรมราช!J400"")"),0)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IFERROR(__xludf.DUMMYFUNCTION("IMPORTRANGE(""https://docs.google.com/spreadsheets/d/1IYY_tgx_IHuhSq3AJ5eI5OnqOPBNLWSHKh2a30DoXe8/edit?usp=sharing"",""นครศรีธรรมราช!I401"")"),0)</f>
        <v>0</v>
      </c>
      <c r="J506" s="195">
        <f ca="1">IFERROR(__xludf.DUMMYFUNCTION("IMPORTRANGE(""https://docs.google.com/spreadsheets/d/1IYY_tgx_IHuhSq3AJ5eI5OnqOPBNLWSHKh2a30DoXe8/edit?usp=sharing"",""นครศรีธรรมราช!J401"")"),0)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IFERROR(__xludf.DUMMYFUNCTION("IMPORTRANGE(""https://docs.google.com/spreadsheets/d/1IYY_tgx_IHuhSq3AJ5eI5OnqOPBNLWSHKh2a30DoXe8/edit?usp=sharing"",""นครศรีธรรมราช!I402"")"),0)</f>
        <v>0</v>
      </c>
      <c r="J507" s="204">
        <f ca="1">IFERROR(__xludf.DUMMYFUNCTION("IMPORTRANGE(""https://docs.google.com/spreadsheets/d/1IYY_tgx_IHuhSq3AJ5eI5OnqOPBNLWSHKh2a30DoXe8/edit?usp=sharing"",""นครศรีธรรมราช!J402"")"),0)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IFERROR(__xludf.DUMMYFUNCTION("IMPORTRANGE(""https://docs.google.com/spreadsheets/d/1IYY_tgx_IHuhSq3AJ5eI5OnqOPBNLWSHKh2a30DoXe8/edit?usp=sharing"",""นครศรีธรรมราช!I403"")"),0)</f>
        <v>0</v>
      </c>
      <c r="J508" s="166">
        <f ca="1">IFERROR(__xludf.DUMMYFUNCTION("IMPORTRANGE(""https://docs.google.com/spreadsheets/d/1IYY_tgx_IHuhSq3AJ5eI5OnqOPBNLWSHKh2a30DoXe8/edit?usp=sharing"",""นครศรีธรรมราช!J403"")"),0)</f>
        <v>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IFERROR(__xludf.DUMMYFUNCTION("IMPORTRANGE(""https://docs.google.com/spreadsheets/d/1IYY_tgx_IHuhSq3AJ5eI5OnqOPBNLWSHKh2a30DoXe8/edit?usp=sharing"",""นครศรีธรรมราช!I404"")"),0)</f>
        <v>0</v>
      </c>
      <c r="J509" s="166">
        <f ca="1">IFERROR(__xludf.DUMMYFUNCTION("IMPORTRANGE(""https://docs.google.com/spreadsheets/d/1IYY_tgx_IHuhSq3AJ5eI5OnqOPBNLWSHKh2a30DoXe8/edit?usp=sharing"",""นครศรีธรรมราช!J404"")"),0)</f>
        <v>0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IFERROR(__xludf.DUMMYFUNCTION("IMPORTRANGE(""https://docs.google.com/spreadsheets/d/1IYY_tgx_IHuhSq3AJ5eI5OnqOPBNLWSHKh2a30DoXe8/edit?usp=sharing"",""นครศรีธรรมราช!I405"")"),0)</f>
        <v>0</v>
      </c>
      <c r="J510" s="204">
        <f ca="1">IFERROR(__xludf.DUMMYFUNCTION("IMPORTRANGE(""https://docs.google.com/spreadsheets/d/1IYY_tgx_IHuhSq3AJ5eI5OnqOPBNLWSHKh2a30DoXe8/edit?usp=sharing"",""นครศรีธรรมราช!J405"")"),0)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IFERROR(__xludf.DUMMYFUNCTION("IMPORTRANGE(""https://docs.google.com/spreadsheets/d/1IYY_tgx_IHuhSq3AJ5eI5OnqOPBNLWSHKh2a30DoXe8/edit?usp=sharing"",""นครศรีธรรมราช!I406"")"),0)</f>
        <v>0</v>
      </c>
      <c r="J511" s="204">
        <f ca="1">IFERROR(__xludf.DUMMYFUNCTION("IMPORTRANGE(""https://docs.google.com/spreadsheets/d/1IYY_tgx_IHuhSq3AJ5eI5OnqOPBNLWSHKh2a30DoXe8/edit?usp=sharing"",""นครศรีธรรมราช!J406"")"),0)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IFERROR(__xludf.DUMMYFUNCTION("IMPORTRANGE(""https://docs.google.com/spreadsheets/d/1IYY_tgx_IHuhSq3AJ5eI5OnqOPBNLWSHKh2a30DoXe8/edit?usp=sharing"",""นครศรีธรรมราช!I407"")"),0)</f>
        <v>0</v>
      </c>
      <c r="J512" s="204">
        <f ca="1">IFERROR(__xludf.DUMMYFUNCTION("IMPORTRANGE(""https://docs.google.com/spreadsheets/d/1IYY_tgx_IHuhSq3AJ5eI5OnqOPBNLWSHKh2a30DoXe8/edit?usp=sharing"",""นครศรีธรรมราช!J407"")"),0)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IFERROR(__xludf.DUMMYFUNCTION("IMPORTRANGE(""https://docs.google.com/spreadsheets/d/1IYY_tgx_IHuhSq3AJ5eI5OnqOPBNLWSHKh2a30DoXe8/edit?usp=sharing"",""นครศรีธรรมราช!I408"")"),0)</f>
        <v>0</v>
      </c>
      <c r="J513" s="204">
        <f ca="1">IFERROR(__xludf.DUMMYFUNCTION("IMPORTRANGE(""https://docs.google.com/spreadsheets/d/1IYY_tgx_IHuhSq3AJ5eI5OnqOPBNLWSHKh2a30DoXe8/edit?usp=sharing"",""นครศรีธรรมราช!J408"")"),0)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IFERROR(__xludf.DUMMYFUNCTION("IMPORTRANGE(""https://docs.google.com/spreadsheets/d/1IYY_tgx_IHuhSq3AJ5eI5OnqOPBNLWSHKh2a30DoXe8/edit?usp=sharing"",""นครศรีธรรมราช!I409"")"),0)</f>
        <v>0</v>
      </c>
      <c r="J514" s="204">
        <f ca="1">IFERROR(__xludf.DUMMYFUNCTION("IMPORTRANGE(""https://docs.google.com/spreadsheets/d/1IYY_tgx_IHuhSq3AJ5eI5OnqOPBNLWSHKh2a30DoXe8/edit?usp=sharing"",""นครศรีธรรมราช!J409"")"),0)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IFERROR(__xludf.DUMMYFUNCTION("IMPORTRANGE(""https://docs.google.com/spreadsheets/d/1IYY_tgx_IHuhSq3AJ5eI5OnqOPBNLWSHKh2a30DoXe8/edit?usp=sharing"",""นครศรีธรรมราช!I410"")"),0)</f>
        <v>0</v>
      </c>
      <c r="J515" s="204">
        <f ca="1">IFERROR(__xludf.DUMMYFUNCTION("IMPORTRANGE(""https://docs.google.com/spreadsheets/d/1IYY_tgx_IHuhSq3AJ5eI5OnqOPBNLWSHKh2a30DoXe8/edit?usp=sharing"",""นครศรีธรรมราช!J410"")"),0)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IFERROR(__xludf.DUMMYFUNCTION("IMPORTRANGE(""https://docs.google.com/spreadsheets/d/1IYY_tgx_IHuhSq3AJ5eI5OnqOPBNLWSHKh2a30DoXe8/edit?usp=sharing"",""นครศรีธรรมราช!I411"")"),0)</f>
        <v>0</v>
      </c>
      <c r="J516" s="273">
        <f ca="1">IFERROR(__xludf.DUMMYFUNCTION("IMPORTRANGE(""https://docs.google.com/spreadsheets/d/1IYY_tgx_IHuhSq3AJ5eI5OnqOPBNLWSHKh2a30DoXe8/edit?usp=sharing"",""นครศรีธรรมราช!J411"")"),0)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IFERROR(__xludf.DUMMYFUNCTION("IMPORTRANGE(""https://docs.google.com/spreadsheets/d/1IYY_tgx_IHuhSq3AJ5eI5OnqOPBNLWSHKh2a30DoXe8/edit?usp=sharing"",""นครศรีธรรมราช!I412"")"),0)</f>
        <v>0</v>
      </c>
      <c r="J517" s="290">
        <f ca="1">IFERROR(__xludf.DUMMYFUNCTION("IMPORTRANGE(""https://docs.google.com/spreadsheets/d/1IYY_tgx_IHuhSq3AJ5eI5OnqOPBNLWSHKh2a30DoXe8/edit?usp=sharing"",""นครศรีธรรมราช!J412"")"),0)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IFERROR(__xludf.DUMMYFUNCTION("IMPORTRANGE(""https://docs.google.com/spreadsheets/d/1IYY_tgx_IHuhSq3AJ5eI5OnqOPBNLWSHKh2a30DoXe8/edit?usp=sharing"",""นครศรีธรรมราช!I413"")"),0)</f>
        <v>0</v>
      </c>
      <c r="J518" s="290">
        <f ca="1">IFERROR(__xludf.DUMMYFUNCTION("IMPORTRANGE(""https://docs.google.com/spreadsheets/d/1IYY_tgx_IHuhSq3AJ5eI5OnqOPBNLWSHKh2a30DoXe8/edit?usp=sharing"",""นครศรีธรรมราช!J413"")"),0)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IFERROR(__xludf.DUMMYFUNCTION("IMPORTRANGE(""https://docs.google.com/spreadsheets/d/1IYY_tgx_IHuhSq3AJ5eI5OnqOPBNLWSHKh2a30DoXe8/edit?usp=sharing"",""นครศรีธรรมราช!I414"")"),0)</f>
        <v>0</v>
      </c>
      <c r="J519" s="194">
        <f ca="1">IFERROR(__xludf.DUMMYFUNCTION("IMPORTRANGE(""https://docs.google.com/spreadsheets/d/1IYY_tgx_IHuhSq3AJ5eI5OnqOPBNLWSHKh2a30DoXe8/edit?usp=sharing"",""นครศรีธรรมราช!J414"")"),0)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IFERROR(__xludf.DUMMYFUNCTION("IMPORTRANGE(""https://docs.google.com/spreadsheets/d/1IYY_tgx_IHuhSq3AJ5eI5OnqOPBNLWSHKh2a30DoXe8/edit?usp=sharing"",""นครศรีธรรมราช!I415"")"),0)</f>
        <v>0</v>
      </c>
      <c r="J520" s="194">
        <f ca="1">IFERROR(__xludf.DUMMYFUNCTION("IMPORTRANGE(""https://docs.google.com/spreadsheets/d/1IYY_tgx_IHuhSq3AJ5eI5OnqOPBNLWSHKh2a30DoXe8/edit?usp=sharing"",""นครศรีธรรมราช!J415"")"),0)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IFERROR(__xludf.DUMMYFUNCTION("IMPORTRANGE(""https://docs.google.com/spreadsheets/d/1IYY_tgx_IHuhSq3AJ5eI5OnqOPBNLWSHKh2a30DoXe8/edit?usp=sharing"",""นครศรีธรรมราช!I416"")"),0)</f>
        <v>0</v>
      </c>
      <c r="J521" s="194">
        <f ca="1">IFERROR(__xludf.DUMMYFUNCTION("IMPORTRANGE(""https://docs.google.com/spreadsheets/d/1IYY_tgx_IHuhSq3AJ5eI5OnqOPBNLWSHKh2a30DoXe8/edit?usp=sharing"",""นครศรีธรรมราช!J416"")"),0)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IFERROR(__xludf.DUMMYFUNCTION("IMPORTRANGE(""https://docs.google.com/spreadsheets/d/1IYY_tgx_IHuhSq3AJ5eI5OnqOPBNLWSHKh2a30DoXe8/edit?usp=sharing"",""นครศรีธรรมราช!I417"")"),0)</f>
        <v>0</v>
      </c>
      <c r="J522" s="194">
        <f ca="1">IFERROR(__xludf.DUMMYFUNCTION("IMPORTRANGE(""https://docs.google.com/spreadsheets/d/1IYY_tgx_IHuhSq3AJ5eI5OnqOPBNLWSHKh2a30DoXe8/edit?usp=sharing"",""นครศรีธรรมราช!J417"")"),0)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IFERROR(__xludf.DUMMYFUNCTION("IMPORTRANGE(""https://docs.google.com/spreadsheets/d/1IYY_tgx_IHuhSq3AJ5eI5OnqOPBNLWSHKh2a30DoXe8/edit?usp=sharing"",""นครศรีธรรมราช!I418"")"),0)</f>
        <v>0</v>
      </c>
      <c r="J523" s="194">
        <f ca="1">IFERROR(__xludf.DUMMYFUNCTION("IMPORTRANGE(""https://docs.google.com/spreadsheets/d/1IYY_tgx_IHuhSq3AJ5eI5OnqOPBNLWSHKh2a30DoXe8/edit?usp=sharing"",""นครศรีธรรมราช!J418"")"),0)</f>
        <v>0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IFERROR(__xludf.DUMMYFUNCTION("IMPORTRANGE(""https://docs.google.com/spreadsheets/d/1IYY_tgx_IHuhSq3AJ5eI5OnqOPBNLWSHKh2a30DoXe8/edit?usp=sharing"",""นครศรีธรรมราช!I419"")"),0)</f>
        <v>0</v>
      </c>
      <c r="J524" s="194">
        <f ca="1">IFERROR(__xludf.DUMMYFUNCTION("IMPORTRANGE(""https://docs.google.com/spreadsheets/d/1IYY_tgx_IHuhSq3AJ5eI5OnqOPBNLWSHKh2a30DoXe8/edit?usp=sharing"",""นครศรีธรรมราช!J419"")"),0)</f>
        <v>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IFERROR(__xludf.DUMMYFUNCTION("IMPORTRANGE(""https://docs.google.com/spreadsheets/d/1IYY_tgx_IHuhSq3AJ5eI5OnqOPBNLWSHKh2a30DoXe8/edit?usp=sharing"",""นครศรีธรรมราช!I420"")"),0)</f>
        <v>0</v>
      </c>
      <c r="J525" s="290">
        <f ca="1">IFERROR(__xludf.DUMMYFUNCTION("IMPORTRANGE(""https://docs.google.com/spreadsheets/d/1IYY_tgx_IHuhSq3AJ5eI5OnqOPBNLWSHKh2a30DoXe8/edit?usp=sharing"",""นครศรีธรรมราช!J420"")"),0)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IFERROR(__xludf.DUMMYFUNCTION("IMPORTRANGE(""https://docs.google.com/spreadsheets/d/1IYY_tgx_IHuhSq3AJ5eI5OnqOPBNLWSHKh2a30DoXe8/edit?usp=sharing"",""นครศรีธรรมราช!I421"")"),0)</f>
        <v>0</v>
      </c>
      <c r="J526" s="290">
        <f ca="1">IFERROR(__xludf.DUMMYFUNCTION("IMPORTRANGE(""https://docs.google.com/spreadsheets/d/1IYY_tgx_IHuhSq3AJ5eI5OnqOPBNLWSHKh2a30DoXe8/edit?usp=sharing"",""นครศรีธรรมราช!J421"")"),0)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IFERROR(__xludf.DUMMYFUNCTION("IMPORTRANGE(""https://docs.google.com/spreadsheets/d/1IYY_tgx_IHuhSq3AJ5eI5OnqOPBNLWSHKh2a30DoXe8/edit?usp=sharing"",""นครศรีธรรมราช!I422"")"),0)</f>
        <v>0</v>
      </c>
      <c r="J527" s="204">
        <f ca="1">IFERROR(__xludf.DUMMYFUNCTION("IMPORTRANGE(""https://docs.google.com/spreadsheets/d/1IYY_tgx_IHuhSq3AJ5eI5OnqOPBNLWSHKh2a30DoXe8/edit?usp=sharing"",""นครศรีธรรมราช!J422"")"),0)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IFERROR(__xludf.DUMMYFUNCTION("IMPORTRANGE(""https://docs.google.com/spreadsheets/d/1IYY_tgx_IHuhSq3AJ5eI5OnqOPBNLWSHKh2a30DoXe8/edit?usp=sharing"",""นครศรีธรรมราช!I423"")"),0)</f>
        <v>0</v>
      </c>
      <c r="J528" s="204">
        <f ca="1">IFERROR(__xludf.DUMMYFUNCTION("IMPORTRANGE(""https://docs.google.com/spreadsheets/d/1IYY_tgx_IHuhSq3AJ5eI5OnqOPBNLWSHKh2a30DoXe8/edit?usp=sharing"",""นครศรีธรรมราช!J423"")"),0)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IFERROR(__xludf.DUMMYFUNCTION("IMPORTRANGE(""https://docs.google.com/spreadsheets/d/1IYY_tgx_IHuhSq3AJ5eI5OnqOPBNLWSHKh2a30DoXe8/edit?usp=sharing"",""นครศรีธรรมราช!I424"")"),0)</f>
        <v>0</v>
      </c>
      <c r="J529" s="204">
        <f ca="1">IFERROR(__xludf.DUMMYFUNCTION("IMPORTRANGE(""https://docs.google.com/spreadsheets/d/1IYY_tgx_IHuhSq3AJ5eI5OnqOPBNLWSHKh2a30DoXe8/edit?usp=sharing"",""นครศรีธรรมราช!J424"")"),0)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IFERROR(__xludf.DUMMYFUNCTION("IMPORTRANGE(""https://docs.google.com/spreadsheets/d/1IYY_tgx_IHuhSq3AJ5eI5OnqOPBNLWSHKh2a30DoXe8/edit?usp=sharing"",""นครศรีธรรมราช!I425"")"),0)</f>
        <v>0</v>
      </c>
      <c r="J530" s="204">
        <f ca="1">IFERROR(__xludf.DUMMYFUNCTION("IMPORTRANGE(""https://docs.google.com/spreadsheets/d/1IYY_tgx_IHuhSq3AJ5eI5OnqOPBNLWSHKh2a30DoXe8/edit?usp=sharing"",""นครศรีธรรมราช!J425"")"),0)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IFERROR(__xludf.DUMMYFUNCTION("IMPORTRANGE(""https://docs.google.com/spreadsheets/d/1IYY_tgx_IHuhSq3AJ5eI5OnqOPBNLWSHKh2a30DoXe8/edit?usp=sharing"",""นครศรีธรรมราช!I426"")"),0)</f>
        <v>0</v>
      </c>
      <c r="J531" s="204">
        <f ca="1">IFERROR(__xludf.DUMMYFUNCTION("IMPORTRANGE(""https://docs.google.com/spreadsheets/d/1IYY_tgx_IHuhSq3AJ5eI5OnqOPBNLWSHKh2a30DoXe8/edit?usp=sharing"",""นครศรีธรรมราช!J426"")"),0)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IFERROR(__xludf.DUMMYFUNCTION("IMPORTRANGE(""https://docs.google.com/spreadsheets/d/1IYY_tgx_IHuhSq3AJ5eI5OnqOPBNLWSHKh2a30DoXe8/edit?usp=sharing"",""นครศรีธรรมราช!I427"")"),0)</f>
        <v>0</v>
      </c>
      <c r="J532" s="472">
        <f ca="1">IFERROR(__xludf.DUMMYFUNCTION("IMPORTRANGE(""https://docs.google.com/spreadsheets/d/1IYY_tgx_IHuhSq3AJ5eI5OnqOPBNLWSHKh2a30DoXe8/edit?usp=sharing"",""นครศรีธรรมราช!J427"")"),0)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IFERROR(__xludf.DUMMYFUNCTION("IMPORTRANGE(""https://docs.google.com/spreadsheets/d/1IYY_tgx_IHuhSq3AJ5eI5OnqOPBNLWSHKh2a30DoXe8/edit?usp=sharing"",""นครศรีธรรมราช!I428"")"),26)</f>
        <v>26</v>
      </c>
      <c r="J533" s="416">
        <f ca="1">IFERROR(__xludf.DUMMYFUNCTION("IMPORTRANGE(""https://docs.google.com/spreadsheets/d/1IYY_tgx_IHuhSq3AJ5eI5OnqOPBNLWSHKh2a30DoXe8/edit?usp=sharing"",""นครศรีธรรมราช!J428"")"),26)</f>
        <v>26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IFERROR(__xludf.DUMMYFUNCTION("IMPORTRANGE(""https://docs.google.com/spreadsheets/d/1IYY_tgx_IHuhSq3AJ5eI5OnqOPBNLWSHKh2a30DoXe8/edit?usp=sharing"",""นครศรีธรรมราช!L428"")"),37740)</f>
        <v>37740</v>
      </c>
      <c r="M533" s="418"/>
      <c r="N533" s="418">
        <f ca="1">IFERROR(__xludf.DUMMYFUNCTION("IMPORTRANGE(""https://docs.google.com/spreadsheets/d/1IYY_tgx_IHuhSq3AJ5eI5OnqOPBNLWSHKh2a30DoXe8/edit?usp=sharing"",""นครศรีธรรมราช!M428"")"),37740)</f>
        <v>37740</v>
      </c>
      <c r="O533" s="418">
        <f t="shared" ref="O533:O537" ca="1" si="118">+IF(L533&gt;0,N533*100/L533,0)</f>
        <v>100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IFERROR(__xludf.DUMMYFUNCTION("IMPORTRANGE(""https://docs.google.com/spreadsheets/d/1IYY_tgx_IHuhSq3AJ5eI5OnqOPBNLWSHKh2a30DoXe8/edit?usp=sharing"",""นครศรีธรรมราช!L429"")"),0)</f>
        <v>0</v>
      </c>
      <c r="M534" s="168"/>
      <c r="N534" s="175">
        <f ca="1">IFERROR(__xludf.DUMMYFUNCTION("IMPORTRANGE(""https://docs.google.com/spreadsheets/d/1IYY_tgx_IHuhSq3AJ5eI5OnqOPBNLWSHKh2a30DoXe8/edit?usp=sharing"",""นครศรีธรรมราช!M429"")"),0)</f>
        <v>0</v>
      </c>
      <c r="O534" s="175">
        <f t="shared" ca="1" si="118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IFERROR(__xludf.DUMMYFUNCTION("IMPORTRANGE(""https://docs.google.com/spreadsheets/d/1IYY_tgx_IHuhSq3AJ5eI5OnqOPBNLWSHKh2a30DoXe8/edit?usp=sharing"",""นครศรีธรรมราช!L430"")"),37740)</f>
        <v>37740</v>
      </c>
      <c r="M535" s="169"/>
      <c r="N535" s="175">
        <f ca="1">IFERROR(__xludf.DUMMYFUNCTION("IMPORTRANGE(""https://docs.google.com/spreadsheets/d/1IYY_tgx_IHuhSq3AJ5eI5OnqOPBNLWSHKh2a30DoXe8/edit?usp=sharing"",""นครศรีธรรมราช!M430"")"),37740)</f>
        <v>37740</v>
      </c>
      <c r="O535" s="175">
        <f t="shared" ca="1" si="118"/>
        <v>100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IFERROR(__xludf.DUMMYFUNCTION("IMPORTRANGE(""https://docs.google.com/spreadsheets/d/1IYY_tgx_IHuhSq3AJ5eI5OnqOPBNLWSHKh2a30DoXe8/edit?usp=sharing"",""นครศรีธรรมราช!L431"")"),0)</f>
        <v>0</v>
      </c>
      <c r="M536" s="175"/>
      <c r="N536" s="175">
        <f ca="1">IFERROR(__xludf.DUMMYFUNCTION("IMPORTRANGE(""https://docs.google.com/spreadsheets/d/1IYY_tgx_IHuhSq3AJ5eI5OnqOPBNLWSHKh2a30DoXe8/edit?usp=sharing"",""นครศรีธรรมราช!M431"")"),0)</f>
        <v>0</v>
      </c>
      <c r="O536" s="175">
        <f t="shared" ca="1" si="118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IFERROR(__xludf.DUMMYFUNCTION("IMPORTRANGE(""https://docs.google.com/spreadsheets/d/1IYY_tgx_IHuhSq3AJ5eI5OnqOPBNLWSHKh2a30DoXe8/edit?usp=sharing"",""นครศรีธรรมราช!L432"")"),37740)</f>
        <v>37740</v>
      </c>
      <c r="M537" s="175"/>
      <c r="N537" s="175">
        <f ca="1">IFERROR(__xludf.DUMMYFUNCTION("IMPORTRANGE(""https://docs.google.com/spreadsheets/d/1IYY_tgx_IHuhSq3AJ5eI5OnqOPBNLWSHKh2a30DoXe8/edit?usp=sharing"",""นครศรีธรรมราช!M432"")"),37740)</f>
        <v>37740</v>
      </c>
      <c r="O537" s="175">
        <f t="shared" ca="1" si="118"/>
        <v>100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IFERROR(__xludf.DUMMYFUNCTION("IMPORTRANGE(""https://docs.google.com/spreadsheets/d/1IYY_tgx_IHuhSq3AJ5eI5OnqOPBNLWSHKh2a30DoXe8/edit?usp=sharing"",""นครศรีธรรมราช!M433"")"),21900)</f>
        <v>21900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IFERROR(__xludf.DUMMYFUNCTION("IMPORTRANGE(""https://docs.google.com/spreadsheets/d/1IYY_tgx_IHuhSq3AJ5eI5OnqOPBNLWSHKh2a30DoXe8/edit?usp=sharing"",""นครศรีธรรมราช!M434"")"),0)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IFERROR(__xludf.DUMMYFUNCTION("IMPORTRANGE(""https://docs.google.com/spreadsheets/d/1IYY_tgx_IHuhSq3AJ5eI5OnqOPBNLWSHKh2a30DoXe8/edit?usp=sharing"",""นครศรีธรรมราช!M435"")"),0)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IFERROR(__xludf.DUMMYFUNCTION("IMPORTRANGE(""https://docs.google.com/spreadsheets/d/1IYY_tgx_IHuhSq3AJ5eI5OnqOPBNLWSHKh2a30DoXe8/edit?usp=sharing"",""นครศรีธรรมราช!M436"")"),15840)</f>
        <v>15840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IFERROR(__xludf.DUMMYFUNCTION("IMPORTRANGE(""https://docs.google.com/spreadsheets/d/1IYY_tgx_IHuhSq3AJ5eI5OnqOPBNLWSHKh2a30DoXe8/edit?usp=sharing"",""นครศรีธรรมราช!J438"")"),0)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IFERROR(__xludf.DUMMYFUNCTION("IMPORTRANGE(""https://docs.google.com/spreadsheets/d/1IYY_tgx_IHuhSq3AJ5eI5OnqOPBNLWSHKh2a30DoXe8/edit?usp=sharing"",""นครศรีธรรมราช!J439"")"),1)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IFERROR(__xludf.DUMMYFUNCTION("IMPORTRANGE(""https://docs.google.com/spreadsheets/d/1IYY_tgx_IHuhSq3AJ5eI5OnqOPBNLWSHKh2a30DoXe8/edit?usp=sharing"",""นครศรีธรรมราช!J440"")"),1)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IFERROR(__xludf.DUMMYFUNCTION("IMPORTRANGE(""https://docs.google.com/spreadsheets/d/1IYY_tgx_IHuhSq3AJ5eI5OnqOPBNLWSHKh2a30DoXe8/edit?usp=sharing"",""นครศรีธรรมราช!J441"")"),1)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IFERROR(__xludf.DUMMYFUNCTION("IMPORTRANGE(""https://docs.google.com/spreadsheets/d/1IYY_tgx_IHuhSq3AJ5eI5OnqOPBNLWSHKh2a30DoXe8/edit?usp=sharing"",""นครศรีธรรมราช!I442"")"),26)</f>
        <v>26</v>
      </c>
      <c r="J547" s="195">
        <f ca="1">IFERROR(__xludf.DUMMYFUNCTION("IMPORTRANGE(""https://docs.google.com/spreadsheets/d/1IYY_tgx_IHuhSq3AJ5eI5OnqOPBNLWSHKh2a30DoXe8/edit?usp=sharing"",""นครศรีธรรมราช!J442"")"),26)</f>
        <v>26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IFERROR(__xludf.DUMMYFUNCTION("IMPORTRANGE(""https://docs.google.com/spreadsheets/d/1IYY_tgx_IHuhSq3AJ5eI5OnqOPBNLWSHKh2a30DoXe8/edit?usp=sharing"",""นครศรีธรรมราช!J166"")"),0)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IFERROR(__xludf.DUMMYFUNCTION("IMPORTRANGE(""https://docs.google.com/spreadsheets/d/1IYY_tgx_IHuhSq3AJ5eI5OnqOPBNLWSHKh2a30DoXe8/edit?usp=sharing"",""นครศรีธรรมราช!J444"")"),0)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IFERROR(__xludf.DUMMYFUNCTION("IMPORTRANGE(""https://docs.google.com/spreadsheets/d/1IYY_tgx_IHuhSq3AJ5eI5OnqOPBNLWSHKh2a30DoXe8/edit?usp=sharing"",""นครศรีธรรมราช!J445"")"),0)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IFERROR(__xludf.DUMMYFUNCTION("IMPORTRANGE(""https://docs.google.com/spreadsheets/d/1IYY_tgx_IHuhSq3AJ5eI5OnqOPBNLWSHKh2a30DoXe8/edit?usp=sharing"",""นครศรีธรรมราช!I446"")"),0)</f>
        <v>0</v>
      </c>
      <c r="J551" s="416">
        <f ca="1">IFERROR(__xludf.DUMMYFUNCTION("IMPORTRANGE(""https://docs.google.com/spreadsheets/d/1IYY_tgx_IHuhSq3AJ5eI5OnqOPBNLWSHKh2a30DoXe8/edit?usp=sharing"",""นครศรีธรรมราช!J446"")"),0)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IFERROR(__xludf.DUMMYFUNCTION("IMPORTRANGE(""https://docs.google.com/spreadsheets/d/1IYY_tgx_IHuhSq3AJ5eI5OnqOPBNLWSHKh2a30DoXe8/edit?usp=sharing"",""นครศรีธรรมราช!L446"")"),0)</f>
        <v>0</v>
      </c>
      <c r="M551" s="418"/>
      <c r="N551" s="418">
        <f ca="1">IFERROR(__xludf.DUMMYFUNCTION("IMPORTRANGE(""https://docs.google.com/spreadsheets/d/1IYY_tgx_IHuhSq3AJ5eI5OnqOPBNLWSHKh2a30DoXe8/edit?usp=sharing"",""นครศรีธรรมราช!M446"")"),0)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IFERROR(__xludf.DUMMYFUNCTION("IMPORTRANGE(""https://docs.google.com/spreadsheets/d/1IYY_tgx_IHuhSq3AJ5eI5OnqOPBNLWSHKh2a30DoXe8/edit?usp=sharing"",""นครศรีธรรมราช!L447"")"),0)</f>
        <v>0</v>
      </c>
      <c r="M552" s="168"/>
      <c r="N552" s="175">
        <f ca="1">IFERROR(__xludf.DUMMYFUNCTION("IMPORTRANGE(""https://docs.google.com/spreadsheets/d/1IYY_tgx_IHuhSq3AJ5eI5OnqOPBNLWSHKh2a30DoXe8/edit?usp=sharing"",""นครศรีธรรมราช!M447"")"),0)</f>
        <v>0</v>
      </c>
      <c r="O552" s="175">
        <f t="shared" ca="1" si="120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IFERROR(__xludf.DUMMYFUNCTION("IMPORTRANGE(""https://docs.google.com/spreadsheets/d/1IYY_tgx_IHuhSq3AJ5eI5OnqOPBNLWSHKh2a30DoXe8/edit?usp=sharing"",""นครศรีธรรมราช!L448"")"),0)</f>
        <v>0</v>
      </c>
      <c r="M553" s="169"/>
      <c r="N553" s="175">
        <f ca="1">IFERROR(__xludf.DUMMYFUNCTION("IMPORTRANGE(""https://docs.google.com/spreadsheets/d/1IYY_tgx_IHuhSq3AJ5eI5OnqOPBNLWSHKh2a30DoXe8/edit?usp=sharing"",""นครศรีธรรมราช!M448"")"),0)</f>
        <v>0</v>
      </c>
      <c r="O553" s="175">
        <f t="shared" ca="1" si="120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IFERROR(__xludf.DUMMYFUNCTION("IMPORTRANGE(""https://docs.google.com/spreadsheets/d/1IYY_tgx_IHuhSq3AJ5eI5OnqOPBNLWSHKh2a30DoXe8/edit?usp=sharing"",""นครศรีธรรมราช!L449"")"),0)</f>
        <v>0</v>
      </c>
      <c r="M554" s="175"/>
      <c r="N554" s="175">
        <f ca="1">IFERROR(__xludf.DUMMYFUNCTION("IMPORTRANGE(""https://docs.google.com/spreadsheets/d/1IYY_tgx_IHuhSq3AJ5eI5OnqOPBNLWSHKh2a30DoXe8/edit?usp=sharing"",""นครศรีธรรมราช!M449"")"),0)</f>
        <v>0</v>
      </c>
      <c r="O554" s="175">
        <f t="shared" ca="1" si="120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IFERROR(__xludf.DUMMYFUNCTION("IMPORTRANGE(""https://docs.google.com/spreadsheets/d/1IYY_tgx_IHuhSq3AJ5eI5OnqOPBNLWSHKh2a30DoXe8/edit?usp=sharing"",""นครศรีธรรมราช!L450"")"),0)</f>
        <v>0</v>
      </c>
      <c r="M555" s="175"/>
      <c r="N555" s="175">
        <f ca="1">IFERROR(__xludf.DUMMYFUNCTION("IMPORTRANGE(""https://docs.google.com/spreadsheets/d/1IYY_tgx_IHuhSq3AJ5eI5OnqOPBNLWSHKh2a30DoXe8/edit?usp=sharing"",""นครศรีธรรมราช!M450"")"),0)</f>
        <v>0</v>
      </c>
      <c r="O555" s="175">
        <f t="shared" ca="1" si="120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IFERROR(__xludf.DUMMYFUNCTION("IMPORTRANGE(""https://docs.google.com/spreadsheets/d/1IYY_tgx_IHuhSq3AJ5eI5OnqOPBNLWSHKh2a30DoXe8/edit?usp=sharing"",""นครศรีธรรมราช!M451"")"),0)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IFERROR(__xludf.DUMMYFUNCTION("IMPORTRANGE(""https://docs.google.com/spreadsheets/d/1IYY_tgx_IHuhSq3AJ5eI5OnqOPBNLWSHKh2a30DoXe8/edit?usp=sharing"",""นครศรีธรรมราช!M452"")"),0)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IFERROR(__xludf.DUMMYFUNCTION("IMPORTRANGE(""https://docs.google.com/spreadsheets/d/1IYY_tgx_IHuhSq3AJ5eI5OnqOPBNLWSHKh2a30DoXe8/edit?usp=sharing"",""นครศรีธรรมราช!M453"")"),0)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IFERROR(__xludf.DUMMYFUNCTION("IMPORTRANGE(""https://docs.google.com/spreadsheets/d/1IYY_tgx_IHuhSq3AJ5eI5OnqOPBNLWSHKh2a30DoXe8/edit?usp=sharing"",""นครศรีธรรมราช!M454"")"),0)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IFERROR(__xludf.DUMMYFUNCTION("IMPORTRANGE(""https://docs.google.com/spreadsheets/d/1IYY_tgx_IHuhSq3AJ5eI5OnqOPBNLWSHKh2a30DoXe8/edit?usp=sharing"",""นครศรีธรรมราช!I455"")"),0)</f>
        <v>0</v>
      </c>
      <c r="J560" s="166">
        <f ca="1">IFERROR(__xludf.DUMMYFUNCTION("IMPORTRANGE(""https://docs.google.com/spreadsheets/d/1IYY_tgx_IHuhSq3AJ5eI5OnqOPBNLWSHKh2a30DoXe8/edit?usp=sharing"",""นครศรีธรรมราช!J455"")"),0)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IFERROR(__xludf.DUMMYFUNCTION("IMPORTRANGE(""https://docs.google.com/spreadsheets/d/1IYY_tgx_IHuhSq3AJ5eI5OnqOPBNLWSHKh2a30DoXe8/edit?usp=sharing"",""นครศรีธรรมราช!I456"")"),0)</f>
        <v>0</v>
      </c>
      <c r="J561" s="210">
        <f ca="1">IFERROR(__xludf.DUMMYFUNCTION("IMPORTRANGE(""https://docs.google.com/spreadsheets/d/1IYY_tgx_IHuhSq3AJ5eI5OnqOPBNLWSHKh2a30DoXe8/edit?usp=sharing"",""นครศรีธรรมราช!J456"")"),0)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IFERROR(__xludf.DUMMYFUNCTION("IMPORTRANGE(""https://docs.google.com/spreadsheets/d/1IYY_tgx_IHuhSq3AJ5eI5OnqOPBNLWSHKh2a30DoXe8/edit?usp=sharing"",""นครศรีธรรมราช!I459"")"),1700)</f>
        <v>1700</v>
      </c>
      <c r="J564" s="377">
        <f ca="1">IFERROR(__xludf.DUMMYFUNCTION("IMPORTRANGE(""https://docs.google.com/spreadsheets/d/1IYY_tgx_IHuhSq3AJ5eI5OnqOPBNLWSHKh2a30DoXe8/edit?usp=sharing"",""นครศรีธรรมราช!J459"")"),4483)</f>
        <v>4483</v>
      </c>
      <c r="K564" s="378">
        <f ca="1">IF(I564&gt;0,J564*100/I564,0)</f>
        <v>263.70588235294116</v>
      </c>
      <c r="L564" s="379">
        <f ca="1">IFERROR(__xludf.DUMMYFUNCTION("IMPORTRANGE(""https://docs.google.com/spreadsheets/d/1IYY_tgx_IHuhSq3AJ5eI5OnqOPBNLWSHKh2a30DoXe8/edit?usp=sharing"",""นครศรีธรรมราช!L459"")"),145440)</f>
        <v>145440</v>
      </c>
      <c r="M564" s="379"/>
      <c r="N564" s="379">
        <f ca="1">IFERROR(__xludf.DUMMYFUNCTION("IMPORTRANGE(""https://docs.google.com/spreadsheets/d/1IYY_tgx_IHuhSq3AJ5eI5OnqOPBNLWSHKh2a30DoXe8/edit?usp=sharing"",""นครศรีธรรมราช!M459"")"),143408.66)</f>
        <v>143408.66</v>
      </c>
      <c r="O564" s="379">
        <f t="shared" ref="O564:O568" ca="1" si="122">+IF(L564&gt;0,N564*100/L564,0)</f>
        <v>98.603314081408143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IFERROR(__xludf.DUMMYFUNCTION("IMPORTRANGE(""https://docs.google.com/spreadsheets/d/1IYY_tgx_IHuhSq3AJ5eI5OnqOPBNLWSHKh2a30DoXe8/edit?usp=sharing"",""นครศรีธรรมราช!L460"")"),0)</f>
        <v>0</v>
      </c>
      <c r="M565" s="168"/>
      <c r="N565" s="175">
        <f ca="1">IFERROR(__xludf.DUMMYFUNCTION("IMPORTRANGE(""https://docs.google.com/spreadsheets/d/1IYY_tgx_IHuhSq3AJ5eI5OnqOPBNLWSHKh2a30DoXe8/edit?usp=sharing"",""นครศรีธรรมราช!M460"")"),0)</f>
        <v>0</v>
      </c>
      <c r="O565" s="175">
        <f t="shared" ca="1" si="122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IFERROR(__xludf.DUMMYFUNCTION("IMPORTRANGE(""https://docs.google.com/spreadsheets/d/1IYY_tgx_IHuhSq3AJ5eI5OnqOPBNLWSHKh2a30DoXe8/edit?usp=sharing"",""นครศรีธรรมราช!L461"")"),145440)</f>
        <v>145440</v>
      </c>
      <c r="M566" s="169"/>
      <c r="N566" s="175">
        <f ca="1">IFERROR(__xludf.DUMMYFUNCTION("IMPORTRANGE(""https://docs.google.com/spreadsheets/d/1IYY_tgx_IHuhSq3AJ5eI5OnqOPBNLWSHKh2a30DoXe8/edit?usp=sharing"",""นครศรีธรรมราช!M461"")"),143408.66)</f>
        <v>143408.66</v>
      </c>
      <c r="O566" s="175">
        <f t="shared" ca="1" si="122"/>
        <v>98.603314081408143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IFERROR(__xludf.DUMMYFUNCTION("IMPORTRANGE(""https://docs.google.com/spreadsheets/d/1IYY_tgx_IHuhSq3AJ5eI5OnqOPBNLWSHKh2a30DoXe8/edit?usp=sharing"",""นครศรีธรรมราช!L462"")"),0)</f>
        <v>0</v>
      </c>
      <c r="M567" s="175"/>
      <c r="N567" s="175">
        <f ca="1">IFERROR(__xludf.DUMMYFUNCTION("IMPORTRANGE(""https://docs.google.com/spreadsheets/d/1IYY_tgx_IHuhSq3AJ5eI5OnqOPBNLWSHKh2a30DoXe8/edit?usp=sharing"",""นครศรีธรรมราช!M462"")"),0)</f>
        <v>0</v>
      </c>
      <c r="O567" s="175">
        <f t="shared" ca="1" si="122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IFERROR(__xludf.DUMMYFUNCTION("IMPORTRANGE(""https://docs.google.com/spreadsheets/d/1IYY_tgx_IHuhSq3AJ5eI5OnqOPBNLWSHKh2a30DoXe8/edit?usp=sharing"",""นครศรีธรรมราช!L463"")"),145440)</f>
        <v>145440</v>
      </c>
      <c r="M568" s="175"/>
      <c r="N568" s="175">
        <f ca="1">IFERROR(__xludf.DUMMYFUNCTION("IMPORTRANGE(""https://docs.google.com/spreadsheets/d/1IYY_tgx_IHuhSq3AJ5eI5OnqOPBNLWSHKh2a30DoXe8/edit?usp=sharing"",""นครศรีธรรมราช!M463"")"),143408.66)</f>
        <v>143408.66</v>
      </c>
      <c r="O568" s="175">
        <f t="shared" ca="1" si="122"/>
        <v>98.603314081408143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IFERROR(__xludf.DUMMYFUNCTION("IMPORTRANGE(""https://docs.google.com/spreadsheets/d/1IYY_tgx_IHuhSq3AJ5eI5OnqOPBNLWSHKh2a30DoXe8/edit?usp=sharing"",""นครศรีธรรมราช!M464"")"),0)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IFERROR(__xludf.DUMMYFUNCTION("IMPORTRANGE(""https://docs.google.com/spreadsheets/d/1IYY_tgx_IHuhSq3AJ5eI5OnqOPBNLWSHKh2a30DoXe8/edit?usp=sharing"",""นครศรีธรรมราช!M465"")"),0)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IFERROR(__xludf.DUMMYFUNCTION("IMPORTRANGE(""https://docs.google.com/spreadsheets/d/1IYY_tgx_IHuhSq3AJ5eI5OnqOPBNLWSHKh2a30DoXe8/edit?usp=sharing"",""นครศรีธรรมราช!M466"")"),98266.66)</f>
        <v>98266.66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IFERROR(__xludf.DUMMYFUNCTION("IMPORTRANGE(""https://docs.google.com/spreadsheets/d/1IYY_tgx_IHuhSq3AJ5eI5OnqOPBNLWSHKh2a30DoXe8/edit?usp=sharing"",""นครศรีธรรมราช!M467"")"),45142)</f>
        <v>45142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IFERROR(__xludf.DUMMYFUNCTION("IMPORTRANGE(""https://docs.google.com/spreadsheets/d/1IYY_tgx_IHuhSq3AJ5eI5OnqOPBNLWSHKh2a30DoXe8/edit?usp=sharing"",""นครศรีธรรมราช!I468"")"),1700)</f>
        <v>1700</v>
      </c>
      <c r="J573" s="426">
        <f ca="1">IFERROR(__xludf.DUMMYFUNCTION("IMPORTRANGE(""https://docs.google.com/spreadsheets/d/1IYY_tgx_IHuhSq3AJ5eI5OnqOPBNLWSHKh2a30DoXe8/edit?usp=sharing"",""นครศรีธรรมราช!J468"")"),4483)</f>
        <v>4483</v>
      </c>
      <c r="K573" s="208">
        <f ca="1">IF(I573&gt;0,J573*100/I573,0)</f>
        <v>263.70588235294116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IFERROR(__xludf.DUMMYFUNCTION("IMPORTRANGE(""https://docs.google.com/spreadsheets/d/1IYY_tgx_IHuhSq3AJ5eI5OnqOPBNLWSHKh2a30DoXe8/edit?usp=sharing"",""นครศรีธรรมราช!I470"")"),0)</f>
        <v>0</v>
      </c>
      <c r="J575" s="204">
        <f ca="1">IFERROR(__xludf.DUMMYFUNCTION("IMPORTRANGE(""https://docs.google.com/spreadsheets/d/1IYY_tgx_IHuhSq3AJ5eI5OnqOPBNLWSHKh2a30DoXe8/edit?usp=sharing"",""นครศรีธรรมราช!J470"")"),10)</f>
        <v>10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IFERROR(__xludf.DUMMYFUNCTION("IMPORTRANGE(""https://docs.google.com/spreadsheets/d/1IYY_tgx_IHuhSq3AJ5eI5OnqOPBNLWSHKh2a30DoXe8/edit?usp=sharing"",""นครศรีธรรมราช!I471"")"),0)</f>
        <v>0</v>
      </c>
      <c r="J576" s="204">
        <f ca="1">IFERROR(__xludf.DUMMYFUNCTION("IMPORTRANGE(""https://docs.google.com/spreadsheets/d/1IYY_tgx_IHuhSq3AJ5eI5OnqOPBNLWSHKh2a30DoXe8/edit?usp=sharing"",""นครศรีธรรมราช!J471"")"),693)</f>
        <v>693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IFERROR(__xludf.DUMMYFUNCTION("IMPORTRANGE(""https://docs.google.com/spreadsheets/d/1IYY_tgx_IHuhSq3AJ5eI5OnqOPBNLWSHKh2a30DoXe8/edit?usp=sharing"",""นครศรีธรรมราช!I472"")"),0)</f>
        <v>0</v>
      </c>
      <c r="J577" s="195">
        <f ca="1">IFERROR(__xludf.DUMMYFUNCTION("IMPORTRANGE(""https://docs.google.com/spreadsheets/d/1IYY_tgx_IHuhSq3AJ5eI5OnqOPBNLWSHKh2a30DoXe8/edit?usp=sharing"",""นครศรีธรรมราช!J472"")"),3790)</f>
        <v>3790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IFERROR(__xludf.DUMMYFUNCTION("IMPORTRANGE(""https://docs.google.com/spreadsheets/d/1IYY_tgx_IHuhSq3AJ5eI5OnqOPBNLWSHKh2a30DoXe8/edit?usp=sharing"",""นครศรีธรรมราช!I473"")"),0)</f>
        <v>0</v>
      </c>
      <c r="J578" s="204">
        <f ca="1">IFERROR(__xludf.DUMMYFUNCTION("IMPORTRANGE(""https://docs.google.com/spreadsheets/d/1IYY_tgx_IHuhSq3AJ5eI5OnqOPBNLWSHKh2a30DoXe8/edit?usp=sharing"",""นครศรีธรรมราช!J473"")"),0)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IFERROR(__xludf.DUMMYFUNCTION("IMPORTRANGE(""https://docs.google.com/spreadsheets/d/1IYY_tgx_IHuhSq3AJ5eI5OnqOPBNLWSHKh2a30DoXe8/edit?usp=sharing"",""นครศรีธรรมราช!I474"")"),0)</f>
        <v>0</v>
      </c>
      <c r="J579" s="204">
        <f ca="1">IFERROR(__xludf.DUMMYFUNCTION("IMPORTRANGE(""https://docs.google.com/spreadsheets/d/1IYY_tgx_IHuhSq3AJ5eI5OnqOPBNLWSHKh2a30DoXe8/edit?usp=sharing"",""นครศรีธรรมราช!J474"")"),0)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IFERROR(__xludf.DUMMYFUNCTION("IMPORTRANGE(""https://docs.google.com/spreadsheets/d/1IYY_tgx_IHuhSq3AJ5eI5OnqOPBNLWSHKh2a30DoXe8/edit?usp=sharing"",""นครศรีธรรมราช!I475"")"),27)</f>
        <v>27</v>
      </c>
      <c r="J580" s="377">
        <f ca="1">IFERROR(__xludf.DUMMYFUNCTION("IMPORTRANGE(""https://docs.google.com/spreadsheets/d/1IYY_tgx_IHuhSq3AJ5eI5OnqOPBNLWSHKh2a30DoXe8/edit?usp=sharing"",""นครศรีธรรมราช!J475"")"),2)</f>
        <v>2</v>
      </c>
      <c r="K580" s="378">
        <f ca="1">IF(I580&gt;0,J580*100/I580,0)</f>
        <v>7.4074074074074074</v>
      </c>
      <c r="L580" s="379">
        <f ca="1">IFERROR(__xludf.DUMMYFUNCTION("IMPORTRANGE(""https://docs.google.com/spreadsheets/d/1IYY_tgx_IHuhSq3AJ5eI5OnqOPBNLWSHKh2a30DoXe8/edit?usp=sharing"",""นครศรีธรรมราช!L475"")"),161177)</f>
        <v>161177</v>
      </c>
      <c r="M580" s="379"/>
      <c r="N580" s="379">
        <f ca="1">IFERROR(__xludf.DUMMYFUNCTION("IMPORTRANGE(""https://docs.google.com/spreadsheets/d/1IYY_tgx_IHuhSq3AJ5eI5OnqOPBNLWSHKh2a30DoXe8/edit?usp=sharing"",""นครศรีธรรมราช!M475"")"),64971)</f>
        <v>64971</v>
      </c>
      <c r="O580" s="379">
        <f t="shared" ref="O580:O584" ca="1" si="124">+IF(L580&gt;0,N580*100/L580,0)</f>
        <v>40.310342046321743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IFERROR(__xludf.DUMMYFUNCTION("IMPORTRANGE(""https://docs.google.com/spreadsheets/d/1IYY_tgx_IHuhSq3AJ5eI5OnqOPBNLWSHKh2a30DoXe8/edit?usp=sharing"",""นครศรีธรรมราช!L476"")"),0)</f>
        <v>0</v>
      </c>
      <c r="M581" s="168"/>
      <c r="N581" s="175">
        <f ca="1">IFERROR(__xludf.DUMMYFUNCTION("IMPORTRANGE(""https://docs.google.com/spreadsheets/d/1IYY_tgx_IHuhSq3AJ5eI5OnqOPBNLWSHKh2a30DoXe8/edit?usp=sharing"",""นครศรีธรรมราช!M476"")"),0)</f>
        <v>0</v>
      </c>
      <c r="O581" s="175">
        <f t="shared" ca="1" si="124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IFERROR(__xludf.DUMMYFUNCTION("IMPORTRANGE(""https://docs.google.com/spreadsheets/d/1IYY_tgx_IHuhSq3AJ5eI5OnqOPBNLWSHKh2a30DoXe8/edit?usp=sharing"",""นครศรีธรรมราช!L477"")"),161177)</f>
        <v>161177</v>
      </c>
      <c r="M582" s="169"/>
      <c r="N582" s="175">
        <f ca="1">IFERROR(__xludf.DUMMYFUNCTION("IMPORTRANGE(""https://docs.google.com/spreadsheets/d/1IYY_tgx_IHuhSq3AJ5eI5OnqOPBNLWSHKh2a30DoXe8/edit?usp=sharing"",""นครศรีธรรมราช!M477"")"),64971)</f>
        <v>64971</v>
      </c>
      <c r="O582" s="175">
        <f t="shared" ca="1" si="124"/>
        <v>40.310342046321743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IFERROR(__xludf.DUMMYFUNCTION("IMPORTRANGE(""https://docs.google.com/spreadsheets/d/1IYY_tgx_IHuhSq3AJ5eI5OnqOPBNLWSHKh2a30DoXe8/edit?usp=sharing"",""นครศรีธรรมราช!L478"")"),0)</f>
        <v>0</v>
      </c>
      <c r="M583" s="175"/>
      <c r="N583" s="175">
        <f ca="1">IFERROR(__xludf.DUMMYFUNCTION("IMPORTRANGE(""https://docs.google.com/spreadsheets/d/1IYY_tgx_IHuhSq3AJ5eI5OnqOPBNLWSHKh2a30DoXe8/edit?usp=sharing"",""นครศรีธรรมราช!M478"")"),0)</f>
        <v>0</v>
      </c>
      <c r="O583" s="175">
        <f t="shared" ca="1" si="124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IFERROR(__xludf.DUMMYFUNCTION("IMPORTRANGE(""https://docs.google.com/spreadsheets/d/1IYY_tgx_IHuhSq3AJ5eI5OnqOPBNLWSHKh2a30DoXe8/edit?usp=sharing"",""นครศรีธรรมราช!L479"")"),161177)</f>
        <v>161177</v>
      </c>
      <c r="M584" s="175"/>
      <c r="N584" s="175">
        <f ca="1">IFERROR(__xludf.DUMMYFUNCTION("IMPORTRANGE(""https://docs.google.com/spreadsheets/d/1IYY_tgx_IHuhSq3AJ5eI5OnqOPBNLWSHKh2a30DoXe8/edit?usp=sharing"",""นครศรีธรรมราช!M479"")"),64971)</f>
        <v>64971</v>
      </c>
      <c r="O584" s="175">
        <f t="shared" ca="1" si="124"/>
        <v>40.310342046321743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IFERROR(__xludf.DUMMYFUNCTION("IMPORTRANGE(""https://docs.google.com/spreadsheets/d/1IYY_tgx_IHuhSq3AJ5eI5OnqOPBNLWSHKh2a30DoXe8/edit?usp=sharing"",""นครศรีธรรมราช!M480"")"),0)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IFERROR(__xludf.DUMMYFUNCTION("IMPORTRANGE(""https://docs.google.com/spreadsheets/d/1IYY_tgx_IHuhSq3AJ5eI5OnqOPBNLWSHKh2a30DoXe8/edit?usp=sharing"",""นครศรีธรรมราช!M481"")"),0)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IFERROR(__xludf.DUMMYFUNCTION("IMPORTRANGE(""https://docs.google.com/spreadsheets/d/1IYY_tgx_IHuhSq3AJ5eI5OnqOPBNLWSHKh2a30DoXe8/edit?usp=sharing"",""นครศรีธรรมราช!M482"")"),0)</f>
        <v>0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IFERROR(__xludf.DUMMYFUNCTION("IMPORTRANGE(""https://docs.google.com/spreadsheets/d/1IYY_tgx_IHuhSq3AJ5eI5OnqOPBNLWSHKh2a30DoXe8/edit?usp=sharing"",""นครศรีธรรมราช!M483"")"),64971)</f>
        <v>64971</v>
      </c>
      <c r="O588" s="175"/>
      <c r="P588" s="175"/>
    </row>
    <row r="589" spans="1:16" ht="21.75" customHeight="1" x14ac:dyDescent="0.2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IFERROR(__xludf.DUMMYFUNCTION("IMPORTRANGE(""https://docs.google.com/spreadsheets/d/1IYY_tgx_IHuhSq3AJ5eI5OnqOPBNLWSHKh2a30DoXe8/edit?usp=sharing"",""นครศรีธรรมราช!I484"")"),27)</f>
        <v>27</v>
      </c>
      <c r="J589" s="194">
        <f ca="1">IFERROR(__xludf.DUMMYFUNCTION("IMPORTRANGE(""https://docs.google.com/spreadsheets/d/1IYY_tgx_IHuhSq3AJ5eI5OnqOPBNLWSHKh2a30DoXe8/edit?usp=sharing"",""นครศรีธรรมราช!J484"")"),0)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2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IFERROR(__xludf.DUMMYFUNCTION("IMPORTRANGE(""https://docs.google.com/spreadsheets/d/1IYY_tgx_IHuhSq3AJ5eI5OnqOPBNLWSHKh2a30DoXe8/edit?usp=sharing"",""นครศรีธรรมราช!I485"")"),0)</f>
        <v>0</v>
      </c>
      <c r="J590" s="194">
        <f ca="1">IFERROR(__xludf.DUMMYFUNCTION("IMPORTRANGE(""https://docs.google.com/spreadsheets/d/1IYY_tgx_IHuhSq3AJ5eI5OnqOPBNLWSHKh2a30DoXe8/edit?usp=sharing"",""นครศรีธรรมราช!J485"")"),0)</f>
        <v>0</v>
      </c>
      <c r="K590" s="486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IFERROR(__xludf.DUMMYFUNCTION("IMPORTRANGE(""https://docs.google.com/spreadsheets/d/1IYY_tgx_IHuhSq3AJ5eI5OnqOPBNLWSHKh2a30DoXe8/edit?usp=sharing"",""นครศรีธรรมราช!I486"")"),27)</f>
        <v>27</v>
      </c>
      <c r="J591" s="194">
        <f ca="1">IFERROR(__xludf.DUMMYFUNCTION("IMPORTRANGE(""https://docs.google.com/spreadsheets/d/1IYY_tgx_IHuhSq3AJ5eI5OnqOPBNLWSHKh2a30DoXe8/edit?usp=sharing"",""นครศรีธรรมราช!J486"")"),8)</f>
        <v>8</v>
      </c>
      <c r="K591" s="167">
        <f t="shared" ca="1" si="125"/>
        <v>29.62962962962963</v>
      </c>
      <c r="L591" s="188"/>
      <c r="M591" s="188"/>
      <c r="N591" s="188"/>
      <c r="O591" s="188"/>
      <c r="P591" s="188"/>
    </row>
    <row r="592" spans="1:16" ht="21.75" customHeight="1" x14ac:dyDescent="0.2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IFERROR(__xludf.DUMMYFUNCTION("IMPORTRANGE(""https://docs.google.com/spreadsheets/d/1IYY_tgx_IHuhSq3AJ5eI5OnqOPBNLWSHKh2a30DoXe8/edit?usp=sharing"",""นครศรีธรรมราช!I487"")"),0)</f>
        <v>0</v>
      </c>
      <c r="J592" s="194">
        <f ca="1">IFERROR(__xludf.DUMMYFUNCTION("IMPORTRANGE(""https://docs.google.com/spreadsheets/d/1IYY_tgx_IHuhSq3AJ5eI5OnqOPBNLWSHKh2a30DoXe8/edit?usp=sharing"",""นครศรีธรรมราช!J487"")"),3.49)</f>
        <v>3.49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IFERROR(__xludf.DUMMYFUNCTION("IMPORTRANGE(""https://docs.google.com/spreadsheets/d/1IYY_tgx_IHuhSq3AJ5eI5OnqOPBNLWSHKh2a30DoXe8/edit?usp=sharing"",""นครศรีธรรมราช!I488"")"),27)</f>
        <v>27</v>
      </c>
      <c r="J593" s="194">
        <f ca="1">IFERROR(__xludf.DUMMYFUNCTION("IMPORTRANGE(""https://docs.google.com/spreadsheets/d/1IYY_tgx_IHuhSq3AJ5eI5OnqOPBNLWSHKh2a30DoXe8/edit?usp=sharing"",""นครศรีธรรมราช!J488"")"),0)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2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IFERROR(__xludf.DUMMYFUNCTION("IMPORTRANGE(""https://docs.google.com/spreadsheets/d/1IYY_tgx_IHuhSq3AJ5eI5OnqOPBNLWSHKh2a30DoXe8/edit?usp=sharing"",""นครศรีธรรมราช!I489"")"),0)</f>
        <v>0</v>
      </c>
      <c r="J594" s="194">
        <f ca="1">IFERROR(__xludf.DUMMYFUNCTION("IMPORTRANGE(""https://docs.google.com/spreadsheets/d/1IYY_tgx_IHuhSq3AJ5eI5OnqOPBNLWSHKh2a30DoXe8/edit?usp=sharing"",""นครศรีธรรมราช!J489"")"),0)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IFERROR(__xludf.DUMMYFUNCTION("IMPORTRANGE(""https://docs.google.com/spreadsheets/d/1IYY_tgx_IHuhSq3AJ5eI5OnqOPBNLWSHKh2a30DoXe8/edit?usp=sharing"",""นครศรีธรรมราช!I490"")"),27)</f>
        <v>27</v>
      </c>
      <c r="J595" s="194">
        <f ca="1">IFERROR(__xludf.DUMMYFUNCTION("IMPORTRANGE(""https://docs.google.com/spreadsheets/d/1IYY_tgx_IHuhSq3AJ5eI5OnqOPBNLWSHKh2a30DoXe8/edit?usp=sharing"",""นครศรีธรรมราช!J490"")"),2)</f>
        <v>2</v>
      </c>
      <c r="K595" s="167">
        <f t="shared" ca="1" si="125"/>
        <v>7.4074074074074074</v>
      </c>
      <c r="L595" s="188"/>
      <c r="M595" s="188"/>
      <c r="N595" s="188"/>
      <c r="O595" s="188"/>
      <c r="P595" s="188"/>
    </row>
    <row r="596" spans="1:16" ht="21.75" customHeight="1" x14ac:dyDescent="0.2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IFERROR(__xludf.DUMMYFUNCTION("IMPORTRANGE(""https://docs.google.com/spreadsheets/d/1IYY_tgx_IHuhSq3AJ5eI5OnqOPBNLWSHKh2a30DoXe8/edit?usp=sharing"",""นครศรีธรรมราช!I491"")"),0)</f>
        <v>0</v>
      </c>
      <c r="J596" s="247">
        <f ca="1">IFERROR(__xludf.DUMMYFUNCTION("IMPORTRANGE(""https://docs.google.com/spreadsheets/d/1IYY_tgx_IHuhSq3AJ5eI5OnqOPBNLWSHKh2a30DoXe8/edit?usp=sharing"",""นครศรีธรรมราช!J491"")"),1.01)</f>
        <v>1.01</v>
      </c>
      <c r="K596" s="493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IFERROR(__xludf.DUMMYFUNCTION("IMPORTRANGE(""https://docs.google.com/spreadsheets/d/1IYY_tgx_IHuhSq3AJ5eI5OnqOPBNLWSHKh2a30DoXe8/edit?usp=sharing"",""นครศรีธรรมราช!I492"")"),50)</f>
        <v>50</v>
      </c>
      <c r="J597" s="494">
        <f ca="1">IFERROR(__xludf.DUMMYFUNCTION("IMPORTRANGE(""https://docs.google.com/spreadsheets/d/1IYY_tgx_IHuhSq3AJ5eI5OnqOPBNLWSHKh2a30DoXe8/edit?usp=sharing"",""นครศรีธรรมราช!J492"")"),0)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IFERROR(__xludf.DUMMYFUNCTION("IMPORTRANGE(""https://docs.google.com/spreadsheets/d/1IYY_tgx_IHuhSq3AJ5eI5OnqOPBNLWSHKh2a30DoXe8/edit?usp=sharing"",""นครศรีธรรมราช!L492"")"),1800)</f>
        <v>1800</v>
      </c>
      <c r="M597" s="418"/>
      <c r="N597" s="418">
        <f ca="1">IFERROR(__xludf.DUMMYFUNCTION("IMPORTRANGE(""https://docs.google.com/spreadsheets/d/1IYY_tgx_IHuhSq3AJ5eI5OnqOPBNLWSHKh2a30DoXe8/edit?usp=sharing"",""นครศรีธรรมราช!M492"")"),1800)</f>
        <v>1800</v>
      </c>
      <c r="O597" s="418">
        <f t="shared" ref="O597:O601" ca="1" si="126">+IF(L597&gt;0,N597*100/L597,0)</f>
        <v>100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IFERROR(__xludf.DUMMYFUNCTION("IMPORTRANGE(""https://docs.google.com/spreadsheets/d/1IYY_tgx_IHuhSq3AJ5eI5OnqOPBNLWSHKh2a30DoXe8/edit?usp=sharing"",""นครศรีธรรมราช!L493"")"),0)</f>
        <v>0</v>
      </c>
      <c r="M598" s="168"/>
      <c r="N598" s="175">
        <f ca="1">IFERROR(__xludf.DUMMYFUNCTION("IMPORTRANGE(""https://docs.google.com/spreadsheets/d/1IYY_tgx_IHuhSq3AJ5eI5OnqOPBNLWSHKh2a30DoXe8/edit?usp=sharing"",""นครศรีธรรมราช!M493"")"),0)</f>
        <v>0</v>
      </c>
      <c r="O598" s="175">
        <f t="shared" ca="1" si="126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IFERROR(__xludf.DUMMYFUNCTION("IMPORTRANGE(""https://docs.google.com/spreadsheets/d/1IYY_tgx_IHuhSq3AJ5eI5OnqOPBNLWSHKh2a30DoXe8/edit?usp=sharing"",""นครศรีธรรมราช!L494"")"),1800)</f>
        <v>1800</v>
      </c>
      <c r="M599" s="169"/>
      <c r="N599" s="175">
        <f ca="1">IFERROR(__xludf.DUMMYFUNCTION("IMPORTRANGE(""https://docs.google.com/spreadsheets/d/1IYY_tgx_IHuhSq3AJ5eI5OnqOPBNLWSHKh2a30DoXe8/edit?usp=sharing"",""นครศรีธรรมราช!M494"")"),1800)</f>
        <v>1800</v>
      </c>
      <c r="O599" s="175">
        <f t="shared" ca="1" si="126"/>
        <v>100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IFERROR(__xludf.DUMMYFUNCTION("IMPORTRANGE(""https://docs.google.com/spreadsheets/d/1IYY_tgx_IHuhSq3AJ5eI5OnqOPBNLWSHKh2a30DoXe8/edit?usp=sharing"",""นครศรีธรรมราช!L495"")"),0)</f>
        <v>0</v>
      </c>
      <c r="M600" s="175"/>
      <c r="N600" s="175">
        <f ca="1">IFERROR(__xludf.DUMMYFUNCTION("IMPORTRANGE(""https://docs.google.com/spreadsheets/d/1IYY_tgx_IHuhSq3AJ5eI5OnqOPBNLWSHKh2a30DoXe8/edit?usp=sharing"",""นครศรีธรรมราช!M495"")"),0)</f>
        <v>0</v>
      </c>
      <c r="O600" s="175">
        <f t="shared" ca="1" si="126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IFERROR(__xludf.DUMMYFUNCTION("IMPORTRANGE(""https://docs.google.com/spreadsheets/d/1IYY_tgx_IHuhSq3AJ5eI5OnqOPBNLWSHKh2a30DoXe8/edit?usp=sharing"",""นครศรีธรรมราช!L496"")"),1800)</f>
        <v>1800</v>
      </c>
      <c r="M601" s="175"/>
      <c r="N601" s="175">
        <f ca="1">IFERROR(__xludf.DUMMYFUNCTION("IMPORTRANGE(""https://docs.google.com/spreadsheets/d/1IYY_tgx_IHuhSq3AJ5eI5OnqOPBNLWSHKh2a30DoXe8/edit?usp=sharing"",""นครศรีธรรมราช!M496"")"),1800)</f>
        <v>1800</v>
      </c>
      <c r="O601" s="175">
        <f t="shared" ca="1" si="126"/>
        <v>100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IFERROR(__xludf.DUMMYFUNCTION("IMPORTRANGE(""https://docs.google.com/spreadsheets/d/1IYY_tgx_IHuhSq3AJ5eI5OnqOPBNLWSHKh2a30DoXe8/edit?usp=sharing"",""นครศรีธรรมราช!M497"")"),0)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IFERROR(__xludf.DUMMYFUNCTION("IMPORTRANGE(""https://docs.google.com/spreadsheets/d/1IYY_tgx_IHuhSq3AJ5eI5OnqOPBNLWSHKh2a30DoXe8/edit?usp=sharing"",""นครศรีธรรมราช!M498"")"),0)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IFERROR(__xludf.DUMMYFUNCTION("IMPORTRANGE(""https://docs.google.com/spreadsheets/d/1IYY_tgx_IHuhSq3AJ5eI5OnqOPBNLWSHKh2a30DoXe8/edit?usp=sharing"",""นครศรีธรรมราช!M499"")"),0)</f>
        <v>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IFERROR(__xludf.DUMMYFUNCTION("IMPORTRANGE(""https://docs.google.com/spreadsheets/d/1IYY_tgx_IHuhSq3AJ5eI5OnqOPBNLWSHKh2a30DoXe8/edit?usp=sharing"",""นครศรีธรรมราช!M500"")"),1800)</f>
        <v>1800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IFERROR(__xludf.DUMMYFUNCTION("IMPORTRANGE(""https://docs.google.com/spreadsheets/d/1IYY_tgx_IHuhSq3AJ5eI5OnqOPBNLWSHKh2a30DoXe8/edit?usp=sharing"",""นครศรีธรรมราช!J502"")"),0)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IFERROR(__xludf.DUMMYFUNCTION("IMPORTRANGE(""https://docs.google.com/spreadsheets/d/1IYY_tgx_IHuhSq3AJ5eI5OnqOPBNLWSHKh2a30DoXe8/edit?usp=sharing"",""นครศรีธรรมราช!J503"")"),1)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IFERROR(__xludf.DUMMYFUNCTION("IMPORTRANGE(""https://docs.google.com/spreadsheets/d/1IYY_tgx_IHuhSq3AJ5eI5OnqOPBNLWSHKh2a30DoXe8/edit?usp=sharing"",""นครศรีธรรมราช!J166"")"),0)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2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IFERROR(__xludf.DUMMYFUNCTION("IMPORTRANGE(""https://docs.google.com/spreadsheets/d/1IYY_tgx_IHuhSq3AJ5eI5OnqOPBNLWSHKh2a30DoXe8/edit?usp=sharing"",""นครศรีธรรมราช!J166"")"),0)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IFERROR(__xludf.DUMMYFUNCTION("IMPORTRANGE(""https://docs.google.com/spreadsheets/d/1IYY_tgx_IHuhSq3AJ5eI5OnqOPBNLWSHKh2a30DoXe8/edit?usp=sharing"",""นครศรีธรรมราช!I506"")"),50)</f>
        <v>50</v>
      </c>
      <c r="J611" s="166">
        <f ca="1">IFERROR(__xludf.DUMMYFUNCTION("IMPORTRANGE(""https://docs.google.com/spreadsheets/d/1IYY_tgx_IHuhSq3AJ5eI5OnqOPBNLWSHKh2a30DoXe8/edit?usp=sharing"",""นครศรีธรรมราช!J506"")"),0)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IFERROR(__xludf.DUMMYFUNCTION("IMPORTRANGE(""https://docs.google.com/spreadsheets/d/1IYY_tgx_IHuhSq3AJ5eI5OnqOPBNLWSHKh2a30DoXe8/edit?usp=sharing"",""นครศรีธรรมราช!I507"")"),0)</f>
        <v>0</v>
      </c>
      <c r="J612" s="204">
        <f ca="1">IFERROR(__xludf.DUMMYFUNCTION("IMPORTRANGE(""https://docs.google.com/spreadsheets/d/1IYY_tgx_IHuhSq3AJ5eI5OnqOPBNLWSHKh2a30DoXe8/edit?usp=sharing"",""นครศรีธรรมราช!J507"")"),0)</f>
        <v>0</v>
      </c>
      <c r="K612" s="167">
        <f t="shared" ca="1" si="127"/>
        <v>0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IFERROR(__xludf.DUMMYFUNCTION("IMPORTRANGE(""https://docs.google.com/spreadsheets/d/1IYY_tgx_IHuhSq3AJ5eI5OnqOPBNLWSHKh2a30DoXe8/edit?usp=sharing"",""นครศรีธรรมราช!I508"")"),0)</f>
        <v>0</v>
      </c>
      <c r="J613" s="204">
        <f ca="1">IFERROR(__xludf.DUMMYFUNCTION("IMPORTRANGE(""https://docs.google.com/spreadsheets/d/1IYY_tgx_IHuhSq3AJ5eI5OnqOPBNLWSHKh2a30DoXe8/edit?usp=sharing"",""นครศรีธรรมราช!J508"")"),0)</f>
        <v>0</v>
      </c>
      <c r="K613" s="167">
        <f t="shared" ca="1" si="127"/>
        <v>0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IFERROR(__xludf.DUMMYFUNCTION("IMPORTRANGE(""https://docs.google.com/spreadsheets/d/1IYY_tgx_IHuhSq3AJ5eI5OnqOPBNLWSHKh2a30DoXe8/edit?usp=sharing"",""นครศรีธรรมราช!I509"")"),0)</f>
        <v>0</v>
      </c>
      <c r="J614" s="204">
        <f ca="1">IFERROR(__xludf.DUMMYFUNCTION("IMPORTRANGE(""https://docs.google.com/spreadsheets/d/1IYY_tgx_IHuhSq3AJ5eI5OnqOPBNLWSHKh2a30DoXe8/edit?usp=sharing"",""นครศรีธรรมราช!J509"")"),0)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IFERROR(__xludf.DUMMYFUNCTION("IMPORTRANGE(""https://docs.google.com/spreadsheets/d/1IYY_tgx_IHuhSq3AJ5eI5OnqOPBNLWSHKh2a30DoXe8/edit?usp=sharing"",""นครศรีธรรมราช!I510"")"),0)</f>
        <v>0</v>
      </c>
      <c r="J615" s="204">
        <f ca="1">IFERROR(__xludf.DUMMYFUNCTION("IMPORTRANGE(""https://docs.google.com/spreadsheets/d/1IYY_tgx_IHuhSq3AJ5eI5OnqOPBNLWSHKh2a30DoXe8/edit?usp=sharing"",""นครศรีธรรมราช!J510"")"),0)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IFERROR(__xludf.DUMMYFUNCTION("IMPORTRANGE(""https://docs.google.com/spreadsheets/d/1IYY_tgx_IHuhSq3AJ5eI5OnqOPBNLWSHKh2a30DoXe8/edit?usp=sharing"",""นครศรีธรรมราช!I511"")"),0)</f>
        <v>0</v>
      </c>
      <c r="J616" s="204">
        <f ca="1">IFERROR(__xludf.DUMMYFUNCTION("IMPORTRANGE(""https://docs.google.com/spreadsheets/d/1IYY_tgx_IHuhSq3AJ5eI5OnqOPBNLWSHKh2a30DoXe8/edit?usp=sharing"",""นครศรีธรรมราช!J511"")"),0)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IFERROR(__xludf.DUMMYFUNCTION("IMPORTRANGE(""https://docs.google.com/spreadsheets/d/1IYY_tgx_IHuhSq3AJ5eI5OnqOPBNLWSHKh2a30DoXe8/edit?usp=sharing"",""นครศรีธรรมราช!I512"")"),0)</f>
        <v>0</v>
      </c>
      <c r="J617" s="194">
        <f ca="1">IFERROR(__xludf.DUMMYFUNCTION("IMPORTRANGE(""https://docs.google.com/spreadsheets/d/1IYY_tgx_IHuhSq3AJ5eI5OnqOPBNLWSHKh2a30DoXe8/edit?usp=sharing"",""นครศรีธรรมราช!J512"")"),0)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IFERROR(__xludf.DUMMYFUNCTION("IMPORTRANGE(""https://docs.google.com/spreadsheets/d/1IYY_tgx_IHuhSq3AJ5eI5OnqOPBNLWSHKh2a30DoXe8/edit?usp=sharing"",""นครศรีธรรมราช!I513"")"),0)</f>
        <v>0</v>
      </c>
      <c r="J618" s="195">
        <f ca="1">IFERROR(__xludf.DUMMYFUNCTION("IMPORTRANGE(""https://docs.google.com/spreadsheets/d/1IYY_tgx_IHuhSq3AJ5eI5OnqOPBNLWSHKh2a30DoXe8/edit?usp=sharing"",""นครศรีธรรมราช!J513"")"),0)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IFERROR(__xludf.DUMMYFUNCTION("IMPORTRANGE(""https://docs.google.com/spreadsheets/d/1IYY_tgx_IHuhSq3AJ5eI5OnqOPBNLWSHKh2a30DoXe8/edit?usp=sharing"",""นครศรีธรรมราช!I514"")"),0)</f>
        <v>0</v>
      </c>
      <c r="J619" s="195">
        <f ca="1">IFERROR(__xludf.DUMMYFUNCTION("IMPORTRANGE(""https://docs.google.com/spreadsheets/d/1IYY_tgx_IHuhSq3AJ5eI5OnqOPBNLWSHKh2a30DoXe8/edit?usp=sharing"",""นครศรีธรรมราช!J514"")"),0)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IFERROR(__xludf.DUMMYFUNCTION("IMPORTRANGE(""https://docs.google.com/spreadsheets/d/1IYY_tgx_IHuhSq3AJ5eI5OnqOPBNLWSHKh2a30DoXe8/edit?usp=sharing"",""นครศรีธรรมราช!I515"")"),0)</f>
        <v>0</v>
      </c>
      <c r="J620" s="209">
        <f ca="1">IFERROR(__xludf.DUMMYFUNCTION("IMPORTRANGE(""https://docs.google.com/spreadsheets/d/1IYY_tgx_IHuhSq3AJ5eI5OnqOPBNLWSHKh2a30DoXe8/edit?usp=sharing"",""นครศรีธรรมราช!J515"")"),0)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IFERROR(__xludf.DUMMYFUNCTION("IMPORTRANGE(""https://docs.google.com/spreadsheets/d/1IYY_tgx_IHuhSq3AJ5eI5OnqOPBNLWSHKh2a30DoXe8/edit?usp=sharing"",""นครศรีธรรมราช!I516"")"),0)</f>
        <v>0</v>
      </c>
      <c r="J621" s="209">
        <f ca="1">IFERROR(__xludf.DUMMYFUNCTION("IMPORTRANGE(""https://docs.google.com/spreadsheets/d/1IYY_tgx_IHuhSq3AJ5eI5OnqOPBNLWSHKh2a30DoXe8/edit?usp=sharing"",""นครศรีธรรมราช!J516"")"),0)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IFERROR(__xludf.DUMMYFUNCTION("IMPORTRANGE(""https://docs.google.com/spreadsheets/d/1IYY_tgx_IHuhSq3AJ5eI5OnqOPBNLWSHKh2a30DoXe8/edit?usp=sharing"",""นครศรีธรรมราช!I517"")"),0)</f>
        <v>0</v>
      </c>
      <c r="J622" s="195">
        <f ca="1">IFERROR(__xludf.DUMMYFUNCTION("IMPORTRANGE(""https://docs.google.com/spreadsheets/d/1IYY_tgx_IHuhSq3AJ5eI5OnqOPBNLWSHKh2a30DoXe8/edit?usp=sharing"",""นครศรีธรรมราช!J517"")"),0)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IFERROR(__xludf.DUMMYFUNCTION("IMPORTRANGE(""https://docs.google.com/spreadsheets/d/1IYY_tgx_IHuhSq3AJ5eI5OnqOPBNLWSHKh2a30DoXe8/edit?usp=sharing"",""นครศรีธรรมราช!I518"")"),0)</f>
        <v>0</v>
      </c>
      <c r="J623" s="195">
        <f ca="1">IFERROR(__xludf.DUMMYFUNCTION("IMPORTRANGE(""https://docs.google.com/spreadsheets/d/1IYY_tgx_IHuhSq3AJ5eI5OnqOPBNLWSHKh2a30DoXe8/edit?usp=sharing"",""นครศรีธรรมราช!J518"")"),0)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IFERROR(__xludf.DUMMYFUNCTION("IMPORTRANGE(""https://docs.google.com/spreadsheets/d/1IYY_tgx_IHuhSq3AJ5eI5OnqOPBNLWSHKh2a30DoXe8/edit?usp=sharing"",""นครศรีธรรมราช!I519"")"),0)</f>
        <v>0</v>
      </c>
      <c r="J624" s="194">
        <f ca="1">IFERROR(__xludf.DUMMYFUNCTION("IMPORTRANGE(""https://docs.google.com/spreadsheets/d/1IYY_tgx_IHuhSq3AJ5eI5OnqOPBNLWSHKh2a30DoXe8/edit?usp=sharing"",""นครศรีธรรมราช!J519"")"),0)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IFERROR(__xludf.DUMMYFUNCTION("IMPORTRANGE(""https://docs.google.com/spreadsheets/d/1IYY_tgx_IHuhSq3AJ5eI5OnqOPBNLWSHKh2a30DoXe8/edit?usp=sharing"",""นครศรีธรรมราช!I520"")"),0)</f>
        <v>0</v>
      </c>
      <c r="J625" s="195">
        <f ca="1">IFERROR(__xludf.DUMMYFUNCTION("IMPORTRANGE(""https://docs.google.com/spreadsheets/d/1IYY_tgx_IHuhSq3AJ5eI5OnqOPBNLWSHKh2a30DoXe8/edit?usp=sharing"",""นครศรีธรรมราช!J520"")"),0)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IFERROR(__xludf.DUMMYFUNCTION("IMPORTRANGE(""https://docs.google.com/spreadsheets/d/1IYY_tgx_IHuhSq3AJ5eI5OnqOPBNLWSHKh2a30DoXe8/edit?usp=sharing"",""นครศรีธรรมราช!I521"")"),0)</f>
        <v>0</v>
      </c>
      <c r="J626" s="195">
        <f ca="1">IFERROR(__xludf.DUMMYFUNCTION("IMPORTRANGE(""https://docs.google.com/spreadsheets/d/1IYY_tgx_IHuhSq3AJ5eI5OnqOPBNLWSHKh2a30DoXe8/edit?usp=sharing"",""นครศรีธรรมราช!J521"")"),0)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2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2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IFERROR(__xludf.DUMMYFUNCTION("IMPORTRANGE(""https://docs.google.com/spreadsheets/d/1IYY_tgx_IHuhSq3AJ5eI5OnqOPBNLWSHKh2a30DoXe8/edit?usp=sharing"",""นครศรีธรรมราช!I523"")"),2169042.49)</f>
        <v>2169042.4900000002</v>
      </c>
      <c r="J628" s="347">
        <f ca="1">IFERROR(__xludf.DUMMYFUNCTION("IMPORTRANGE(""https://docs.google.com/spreadsheets/d/1IYY_tgx_IHuhSq3AJ5eI5OnqOPBNLWSHKh2a30DoXe8/edit?usp=sharing"",""นครศรีธรรมราช!J523"")"),2061940.23)</f>
        <v>2061940.23</v>
      </c>
      <c r="K628" s="348">
        <f t="shared" ref="K628:K635" ca="1" si="129">IF(I628&gt;0,J628*100/I628,0)</f>
        <v>95.062233197653953</v>
      </c>
      <c r="L628" s="348"/>
      <c r="M628" s="348"/>
      <c r="N628" s="348"/>
      <c r="O628" s="175"/>
      <c r="P628" s="175"/>
    </row>
    <row r="629" spans="1:16" ht="21.75" customHeight="1" x14ac:dyDescent="0.2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IFERROR(__xludf.DUMMYFUNCTION("IMPORTRANGE(""https://docs.google.com/spreadsheets/d/1IYY_tgx_IHuhSq3AJ5eI5OnqOPBNLWSHKh2a30DoXe8/edit?usp=sharing"",""นครศรีธรรมราช!I524"")"),156)</f>
        <v>156</v>
      </c>
      <c r="J629" s="347">
        <f ca="1">IFERROR(__xludf.DUMMYFUNCTION("IMPORTRANGE(""https://docs.google.com/spreadsheets/d/1IYY_tgx_IHuhSq3AJ5eI5OnqOPBNLWSHKh2a30DoXe8/edit?usp=sharing"",""นครศรีธรรมราช!J524"")"),144)</f>
        <v>144</v>
      </c>
      <c r="K629" s="348">
        <f t="shared" ca="1" si="129"/>
        <v>92.307692307692307</v>
      </c>
      <c r="L629" s="348"/>
      <c r="M629" s="348"/>
      <c r="N629" s="348"/>
      <c r="O629" s="175"/>
      <c r="P629" s="175"/>
    </row>
    <row r="630" spans="1:16" ht="21.75" customHeight="1" x14ac:dyDescent="0.2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IFERROR(__xludf.DUMMYFUNCTION("IMPORTRANGE(""https://docs.google.com/spreadsheets/d/1IYY_tgx_IHuhSq3AJ5eI5OnqOPBNLWSHKh2a30DoXe8/edit?usp=sharing"",""นครศรีธรรมราช!I525"")"),2464866.69)</f>
        <v>2464866.69</v>
      </c>
      <c r="J630" s="347">
        <f ca="1">IFERROR(__xludf.DUMMYFUNCTION("IMPORTRANGE(""https://docs.google.com/spreadsheets/d/1IYY_tgx_IHuhSq3AJ5eI5OnqOPBNLWSHKh2a30DoXe8/edit?usp=sharing"",""นครศรีธรรมราช!J525"")"),667988.05)</f>
        <v>667988.05000000005</v>
      </c>
      <c r="K630" s="348">
        <f t="shared" ca="1" si="129"/>
        <v>27.100372312630022</v>
      </c>
      <c r="L630" s="348"/>
      <c r="M630" s="348"/>
      <c r="N630" s="348"/>
      <c r="O630" s="175"/>
      <c r="P630" s="175"/>
    </row>
    <row r="631" spans="1:16" ht="21.75" customHeight="1" x14ac:dyDescent="0.2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IFERROR(__xludf.DUMMYFUNCTION("IMPORTRANGE(""https://docs.google.com/spreadsheets/d/1IYY_tgx_IHuhSq3AJ5eI5OnqOPBNLWSHKh2a30DoXe8/edit?usp=sharing"",""นครศรีธรรมราช!I526"")"),105)</f>
        <v>105</v>
      </c>
      <c r="J631" s="347">
        <f ca="1">IFERROR(__xludf.DUMMYFUNCTION("IMPORTRANGE(""https://docs.google.com/spreadsheets/d/1IYY_tgx_IHuhSq3AJ5eI5OnqOPBNLWSHKh2a30DoXe8/edit?usp=sharing"",""นครศรีธรรมราช!J526"")"),84)</f>
        <v>84</v>
      </c>
      <c r="K631" s="348">
        <f t="shared" ca="1" si="129"/>
        <v>80</v>
      </c>
      <c r="L631" s="348"/>
      <c r="M631" s="348"/>
      <c r="N631" s="348"/>
      <c r="O631" s="175"/>
      <c r="P631" s="175"/>
    </row>
    <row r="632" spans="1:16" ht="21.75" customHeight="1" x14ac:dyDescent="0.2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IFERROR(__xludf.DUMMYFUNCTION("IMPORTRANGE(""https://docs.google.com/spreadsheets/d/1IYY_tgx_IHuhSq3AJ5eI5OnqOPBNLWSHKh2a30DoXe8/edit?usp=sharing"",""นครศรีธรรมราช!I527"")"),0)</f>
        <v>0</v>
      </c>
      <c r="J632" s="347">
        <f ca="1">IFERROR(__xludf.DUMMYFUNCTION("IMPORTRANGE(""https://docs.google.com/spreadsheets/d/1IYY_tgx_IHuhSq3AJ5eI5OnqOPBNLWSHKh2a30DoXe8/edit?usp=sharing"",""นครศรีธรรมราช!J527"")"),0)</f>
        <v>0</v>
      </c>
      <c r="K632" s="348">
        <f t="shared" ca="1" si="129"/>
        <v>0</v>
      </c>
      <c r="L632" s="348"/>
      <c r="M632" s="348"/>
      <c r="N632" s="348"/>
      <c r="O632" s="175"/>
      <c r="P632" s="175"/>
    </row>
    <row r="633" spans="1:16" ht="21.75" customHeight="1" x14ac:dyDescent="0.2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IFERROR(__xludf.DUMMYFUNCTION("IMPORTRANGE(""https://docs.google.com/spreadsheets/d/1IYY_tgx_IHuhSq3AJ5eI5OnqOPBNLWSHKh2a30DoXe8/edit?usp=sharing"",""นครศรีธรรมราช!I528"")"),0)</f>
        <v>0</v>
      </c>
      <c r="J633" s="347">
        <f ca="1">IFERROR(__xludf.DUMMYFUNCTION("IMPORTRANGE(""https://docs.google.com/spreadsheets/d/1IYY_tgx_IHuhSq3AJ5eI5OnqOPBNLWSHKh2a30DoXe8/edit?usp=sharing"",""นครศรีธรรมราช!J528"")"),0)</f>
        <v>0</v>
      </c>
      <c r="K633" s="348">
        <f t="shared" ca="1" si="129"/>
        <v>0</v>
      </c>
      <c r="L633" s="348"/>
      <c r="M633" s="348"/>
      <c r="N633" s="348"/>
      <c r="O633" s="175"/>
      <c r="P633" s="175"/>
    </row>
    <row r="634" spans="1:16" ht="21.75" customHeight="1" x14ac:dyDescent="0.2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IFERROR(__xludf.DUMMYFUNCTION("IMPORTRANGE(""https://docs.google.com/spreadsheets/d/1IYY_tgx_IHuhSq3AJ5eI5OnqOPBNLWSHKh2a30DoXe8/edit?usp=sharing"",""นครศรีธรรมราช!I529"")"),2460000)</f>
        <v>2460000</v>
      </c>
      <c r="J634" s="347">
        <f ca="1">IFERROR(__xludf.DUMMYFUNCTION("IMPORTRANGE(""https://docs.google.com/spreadsheets/d/1IYY_tgx_IHuhSq3AJ5eI5OnqOPBNLWSHKh2a30DoXe8/edit?usp=sharing"",""นครศรีธรรมราช!J529"")"),2460000)</f>
        <v>2460000</v>
      </c>
      <c r="K634" s="348">
        <f t="shared" ca="1" si="129"/>
        <v>100</v>
      </c>
      <c r="L634" s="348"/>
      <c r="M634" s="348"/>
      <c r="N634" s="348"/>
      <c r="O634" s="175"/>
      <c r="P634" s="175"/>
    </row>
    <row r="635" spans="1:16" ht="21.75" customHeight="1" x14ac:dyDescent="0.25">
      <c r="A635" s="487"/>
      <c r="B635" s="489"/>
      <c r="C635" s="489"/>
      <c r="D635" s="488"/>
      <c r="E635" s="515"/>
      <c r="F635" s="515"/>
      <c r="G635" s="516"/>
      <c r="H635" s="517" t="s">
        <v>37</v>
      </c>
      <c r="I635" s="518">
        <f ca="1">IFERROR(__xludf.DUMMYFUNCTION("IMPORTRANGE(""https://docs.google.com/spreadsheets/d/1IYY_tgx_IHuhSq3AJ5eI5OnqOPBNLWSHKh2a30DoXe8/edit?usp=sharing"",""นครศรีธรรมราช!I530"")"),70)</f>
        <v>70</v>
      </c>
      <c r="J635" s="518">
        <f ca="1">IFERROR(__xludf.DUMMYFUNCTION("IMPORTRANGE(""https://docs.google.com/spreadsheets/d/1IYY_tgx_IHuhSq3AJ5eI5OnqOPBNLWSHKh2a30DoXe8/edit?usp=sharing"",""นครศรีธรรมราช!J530"")"),71)</f>
        <v>71</v>
      </c>
      <c r="K635" s="493">
        <f t="shared" ca="1" si="129"/>
        <v>101.42857142857143</v>
      </c>
      <c r="L635" s="493"/>
      <c r="M635" s="493"/>
      <c r="N635" s="493"/>
      <c r="O635" s="519"/>
      <c r="P635" s="519"/>
    </row>
    <row r="636" spans="1:16" ht="21.75" customHeight="1" x14ac:dyDescent="0.3">
      <c r="A636" s="520"/>
      <c r="B636" s="599" t="s">
        <v>237</v>
      </c>
      <c r="C636" s="600"/>
      <c r="D636" s="600"/>
      <c r="E636" s="600"/>
      <c r="F636" s="600"/>
      <c r="G636" s="600"/>
      <c r="H636" s="521"/>
      <c r="I636" s="521"/>
      <c r="J636" s="521"/>
      <c r="K636" s="522"/>
      <c r="L636" s="523">
        <f ca="1">SUM(L637,L638)</f>
        <v>0</v>
      </c>
      <c r="M636" s="524"/>
      <c r="N636" s="523">
        <f ca="1">SUM(N637:N638)</f>
        <v>0</v>
      </c>
      <c r="O636" s="523">
        <f t="shared" ref="O636:O640" ca="1" si="130">+IF(L636&gt;0,N636*100/L636,0)</f>
        <v>0</v>
      </c>
      <c r="P636" s="523"/>
    </row>
    <row r="637" spans="1:16" ht="21.75" customHeight="1" x14ac:dyDescent="0.3">
      <c r="A637" s="525"/>
      <c r="B637" s="526"/>
      <c r="C637" s="527" t="s">
        <v>16</v>
      </c>
      <c r="D637" s="601" t="s">
        <v>77</v>
      </c>
      <c r="E637" s="575"/>
      <c r="F637" s="575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130"/>
        <v>0</v>
      </c>
      <c r="P637" s="535"/>
    </row>
    <row r="638" spans="1:16" ht="21.75" customHeight="1" x14ac:dyDescent="0.3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0</v>
      </c>
      <c r="M638" s="534"/>
      <c r="N638" s="535">
        <f ca="1">SUM(N639:N640)</f>
        <v>0</v>
      </c>
      <c r="O638" s="535">
        <f t="shared" ca="1" si="130"/>
        <v>0</v>
      </c>
      <c r="P638" s="535"/>
    </row>
    <row r="639" spans="1:16" ht="21.75" customHeight="1" x14ac:dyDescent="0.3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130"/>
        <v>0</v>
      </c>
      <c r="P639" s="535"/>
    </row>
    <row r="640" spans="1:16" ht="21.75" customHeight="1" x14ac:dyDescent="0.3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0</v>
      </c>
      <c r="M640" s="534"/>
      <c r="N640" s="535">
        <f ca="1">SUM(N641:N644)</f>
        <v>0</v>
      </c>
      <c r="O640" s="535">
        <f t="shared" ca="1" si="130"/>
        <v>0</v>
      </c>
      <c r="P640" s="535"/>
    </row>
    <row r="641" spans="1:16" ht="21.75" customHeight="1" x14ac:dyDescent="0.3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3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3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3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0</v>
      </c>
      <c r="O644" s="537"/>
      <c r="P644" s="537"/>
    </row>
    <row r="645" spans="1:16" ht="21.75" customHeight="1" x14ac:dyDescent="0.3">
      <c r="A645" s="539"/>
      <c r="B645" s="540"/>
      <c r="C645" s="527" t="s">
        <v>16</v>
      </c>
      <c r="D645" s="602" t="s">
        <v>242</v>
      </c>
      <c r="E645" s="575"/>
      <c r="F645" s="575"/>
      <c r="G645" s="575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3">
      <c r="A646" s="539"/>
      <c r="B646" s="540"/>
      <c r="C646" s="540"/>
      <c r="D646" s="541">
        <v>1</v>
      </c>
      <c r="E646" s="603" t="s">
        <v>44</v>
      </c>
      <c r="F646" s="575"/>
      <c r="G646" s="575"/>
      <c r="H646" s="536"/>
      <c r="I646" s="542"/>
      <c r="J646" s="543">
        <f ca="1">IFERROR(__xludf.DUMMYFUNCTION("IMPORTRANGE(""https://docs.google.com/spreadsheets/d/1IYY_tgx_IHuhSq3AJ5eI5OnqOPBNLWSHKh2a30DoXe8/edit?usp=sharing"",""นครศรีธรรมราช!J541"")"),0)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3">
      <c r="A647" s="539"/>
      <c r="B647" s="540"/>
      <c r="C647" s="540"/>
      <c r="D647" s="545">
        <v>2</v>
      </c>
      <c r="E647" s="604" t="s">
        <v>243</v>
      </c>
      <c r="F647" s="575"/>
      <c r="G647" s="575"/>
      <c r="H647" s="536"/>
      <c r="I647" s="542"/>
      <c r="J647" s="543">
        <f ca="1">IFERROR(__xludf.DUMMYFUNCTION("IMPORTRANGE(""https://docs.google.com/spreadsheets/d/1IYY_tgx_IHuhSq3AJ5eI5OnqOPBNLWSHKh2a30DoXe8/edit?usp=sharing"",""นครศรีธรรมราช!J542"")"),0)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3">
      <c r="A648" s="525"/>
      <c r="B648" s="526"/>
      <c r="C648" s="526"/>
      <c r="D648" s="526"/>
      <c r="E648" s="526"/>
      <c r="F648" s="598" t="s">
        <v>244</v>
      </c>
      <c r="G648" s="575"/>
      <c r="H648" s="529" t="s">
        <v>122</v>
      </c>
      <c r="I648" s="546">
        <f ca="1">IFERROR(__xludf.DUMMYFUNCTION("IMPORTRANGE(""https://docs.google.com/spreadsheets/d/1IYY_tgx_IHuhSq3AJ5eI5OnqOPBNLWSHKh2a30DoXe8/edit?usp=sharing"",""นครศรีธรรมราช!I543"")"),0)</f>
        <v>0</v>
      </c>
      <c r="J648" s="547">
        <f ca="1">IFERROR(__xludf.DUMMYFUNCTION("IMPORTRANGE(""https://docs.google.com/spreadsheets/d/1IYY_tgx_IHuhSq3AJ5eI5OnqOPBNLWSHKh2a30DoXe8/edit?usp=sharing"",""นครศรีธรรมราช!J543"")"),0)</f>
        <v>0</v>
      </c>
      <c r="K648" s="548">
        <f t="shared" ref="K648:K651" ca="1" si="131">IF(I648&gt;0,J648*100/I648,0)</f>
        <v>0</v>
      </c>
      <c r="L648" s="535">
        <f ca="1">IFERROR(__xludf.DUMMYFUNCTION("IMPORTRANGE(""https://docs.google.com/spreadsheets/d/1IYY_tgx_IHuhSq3AJ5eI5OnqOPBNLWSHKh2a30DoXe8/edit?usp=sharing"",""นครศรีธรรมราช!L543"")"),0)</f>
        <v>0</v>
      </c>
      <c r="M648" s="534"/>
      <c r="N648" s="549">
        <f ca="1">IFERROR(__xludf.DUMMYFUNCTION("IMPORTRANGE(""https://docs.google.com/spreadsheets/d/1IYY_tgx_IHuhSq3AJ5eI5OnqOPBNLWSHKh2a30DoXe8/edit?usp=sharing"",""นครศรีธรรมราช!M543"")"),0)</f>
        <v>0</v>
      </c>
      <c r="O648" s="548">
        <f t="shared" ref="O648:O651" ca="1" si="132">IF(L648&gt;0,N648*100/L648,0)</f>
        <v>0</v>
      </c>
      <c r="P648" s="548"/>
    </row>
    <row r="649" spans="1:16" ht="21.75" customHeight="1" x14ac:dyDescent="0.3">
      <c r="A649" s="525"/>
      <c r="B649" s="526"/>
      <c r="C649" s="526"/>
      <c r="D649" s="526"/>
      <c r="E649" s="526"/>
      <c r="F649" s="598" t="s">
        <v>245</v>
      </c>
      <c r="G649" s="575"/>
      <c r="H649" s="529" t="s">
        <v>37</v>
      </c>
      <c r="I649" s="546">
        <f ca="1">IFERROR(__xludf.DUMMYFUNCTION("IMPORTRANGE(""https://docs.google.com/spreadsheets/d/1IYY_tgx_IHuhSq3AJ5eI5OnqOPBNLWSHKh2a30DoXe8/edit?usp=sharing"",""นครศรีธรรมราช!I544"")"),0)</f>
        <v>0</v>
      </c>
      <c r="J649" s="547">
        <f ca="1">IFERROR(__xludf.DUMMYFUNCTION("IMPORTRANGE(""https://docs.google.com/spreadsheets/d/1IYY_tgx_IHuhSq3AJ5eI5OnqOPBNLWSHKh2a30DoXe8/edit?usp=sharing"",""นครศรีธรรมราช!J544"")"),0)</f>
        <v>0</v>
      </c>
      <c r="K649" s="548">
        <f t="shared" ca="1" si="131"/>
        <v>0</v>
      </c>
      <c r="L649" s="535">
        <f ca="1">IFERROR(__xludf.DUMMYFUNCTION("IMPORTRANGE(""https://docs.google.com/spreadsheets/d/1IYY_tgx_IHuhSq3AJ5eI5OnqOPBNLWSHKh2a30DoXe8/edit?usp=sharing"",""นครศรีธรรมราช!L544"")"),0)</f>
        <v>0</v>
      </c>
      <c r="M649" s="534"/>
      <c r="N649" s="549">
        <f ca="1">IFERROR(__xludf.DUMMYFUNCTION("IMPORTRANGE(""https://docs.google.com/spreadsheets/d/1IYY_tgx_IHuhSq3AJ5eI5OnqOPBNLWSHKh2a30DoXe8/edit?usp=sharing"",""นครศรีธรรมราช!M544"")"),0)</f>
        <v>0</v>
      </c>
      <c r="O649" s="548">
        <f t="shared" ca="1" si="132"/>
        <v>0</v>
      </c>
      <c r="P649" s="548"/>
    </row>
    <row r="650" spans="1:16" ht="21.75" customHeight="1" x14ac:dyDescent="0.3">
      <c r="A650" s="525"/>
      <c r="B650" s="526"/>
      <c r="C650" s="526"/>
      <c r="D650" s="526"/>
      <c r="E650" s="526"/>
      <c r="F650" s="598" t="s">
        <v>246</v>
      </c>
      <c r="G650" s="575"/>
      <c r="H650" s="529" t="s">
        <v>122</v>
      </c>
      <c r="I650" s="546">
        <f ca="1">IFERROR(__xludf.DUMMYFUNCTION("IMPORTRANGE(""https://docs.google.com/spreadsheets/d/1IYY_tgx_IHuhSq3AJ5eI5OnqOPBNLWSHKh2a30DoXe8/edit?usp=sharing"",""นครศรีธรรมราช!I545"")"),0)</f>
        <v>0</v>
      </c>
      <c r="J650" s="547">
        <f ca="1">IFERROR(__xludf.DUMMYFUNCTION("IMPORTRANGE(""https://docs.google.com/spreadsheets/d/1IYY_tgx_IHuhSq3AJ5eI5OnqOPBNLWSHKh2a30DoXe8/edit?usp=sharing"",""นครศรีธรรมราช!J545"")"),0)</f>
        <v>0</v>
      </c>
      <c r="K650" s="548">
        <f t="shared" ca="1" si="131"/>
        <v>0</v>
      </c>
      <c r="L650" s="535">
        <f ca="1">IFERROR(__xludf.DUMMYFUNCTION("IMPORTRANGE(""https://docs.google.com/spreadsheets/d/1IYY_tgx_IHuhSq3AJ5eI5OnqOPBNLWSHKh2a30DoXe8/edit?usp=sharing"",""นครศรีธรรมราช!L545"")"),0)</f>
        <v>0</v>
      </c>
      <c r="M650" s="534"/>
      <c r="N650" s="549">
        <f ca="1">IFERROR(__xludf.DUMMYFUNCTION("IMPORTRANGE(""https://docs.google.com/spreadsheets/d/1IYY_tgx_IHuhSq3AJ5eI5OnqOPBNLWSHKh2a30DoXe8/edit?usp=sharing"",""นครศรีธรรมราช!M545"")"),0)</f>
        <v>0</v>
      </c>
      <c r="O650" s="548">
        <f t="shared" ca="1" si="132"/>
        <v>0</v>
      </c>
      <c r="P650" s="548"/>
    </row>
    <row r="651" spans="1:16" ht="21.75" customHeight="1" x14ac:dyDescent="0.3">
      <c r="A651" s="525"/>
      <c r="B651" s="526"/>
      <c r="C651" s="526"/>
      <c r="D651" s="526"/>
      <c r="E651" s="526"/>
      <c r="F651" s="598" t="s">
        <v>247</v>
      </c>
      <c r="G651" s="575"/>
      <c r="H651" s="529" t="s">
        <v>122</v>
      </c>
      <c r="I651" s="546">
        <f ca="1">IFERROR(__xludf.DUMMYFUNCTION("IMPORTRANGE(""https://docs.google.com/spreadsheets/d/1IYY_tgx_IHuhSq3AJ5eI5OnqOPBNLWSHKh2a30DoXe8/edit?usp=sharing"",""นครศรีธรรมราช!I546"")"),0)</f>
        <v>0</v>
      </c>
      <c r="J651" s="547">
        <f ca="1">J657+J660</f>
        <v>0</v>
      </c>
      <c r="K651" s="548">
        <f t="shared" ca="1" si="131"/>
        <v>0</v>
      </c>
      <c r="L651" s="535">
        <f ca="1">IFERROR(__xludf.DUMMYFUNCTION("IMPORTRANGE(""https://docs.google.com/spreadsheets/d/1IYY_tgx_IHuhSq3AJ5eI5OnqOPBNLWSHKh2a30DoXe8/edit?usp=sharing"",""นครศรีธรรมราช!L546"")"),0)</f>
        <v>0</v>
      </c>
      <c r="M651" s="534"/>
      <c r="N651" s="549">
        <f ca="1">IFERROR(__xludf.DUMMYFUNCTION("IMPORTRANGE(""https://docs.google.com/spreadsheets/d/1IYY_tgx_IHuhSq3AJ5eI5OnqOPBNLWSHKh2a30DoXe8/edit?usp=sharing"",""นครศรีธรรมราช!M546"")"),0)</f>
        <v>0</v>
      </c>
      <c r="O651" s="548">
        <f t="shared" ca="1" si="132"/>
        <v>0</v>
      </c>
      <c r="P651" s="548"/>
    </row>
    <row r="652" spans="1:16" ht="21.75" customHeight="1" x14ac:dyDescent="0.3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IFERROR(__xludf.DUMMYFUNCTION("IMPORTRANGE(""https://docs.google.com/spreadsheets/d/1IYY_tgx_IHuhSq3AJ5eI5OnqOPBNLWSHKh2a30DoXe8/edit?usp=sharing"",""นครศรีธรรมราช!J547"")"),0)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3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IFERROR(__xludf.DUMMYFUNCTION("IMPORTRANGE(""https://docs.google.com/spreadsheets/d/1IYY_tgx_IHuhSq3AJ5eI5OnqOPBNLWSHKh2a30DoXe8/edit?usp=sharing"",""นครศรีธรรมราช!J548"")"),0)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3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3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IFERROR(__xludf.DUMMYFUNCTION("IMPORTRANGE(""https://docs.google.com/spreadsheets/d/1IYY_tgx_IHuhSq3AJ5eI5OnqOPBNLWSHKh2a30DoXe8/edit?usp=sharing"",""นครศรีธรรมราช!J550"")"),0)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3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IFERROR(__xludf.DUMMYFUNCTION("IMPORTRANGE(""https://docs.google.com/spreadsheets/d/1IYY_tgx_IHuhSq3AJ5eI5OnqOPBNLWSHKh2a30DoXe8/edit?usp=sharing"",""นครศรีธรรมราช!J551"")"),0)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3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IFERROR(__xludf.DUMMYFUNCTION("IMPORTRANGE(""https://docs.google.com/spreadsheets/d/1IYY_tgx_IHuhSq3AJ5eI5OnqOPBNLWSHKh2a30DoXe8/edit?usp=sharing"",""นครศรีธรรมราช!J552"")"),0)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3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IFERROR(__xludf.DUMMYFUNCTION("IMPORTRANGE(""https://docs.google.com/spreadsheets/d/1IYY_tgx_IHuhSq3AJ5eI5OnqOPBNLWSHKh2a30DoXe8/edit?usp=sharing"",""นครศรีธรรมราช!J553"")"),0)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3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IFERROR(__xludf.DUMMYFUNCTION("IMPORTRANGE(""https://docs.google.com/spreadsheets/d/1IYY_tgx_IHuhSq3AJ5eI5OnqOPBNLWSHKh2a30DoXe8/edit?usp=sharing"",""นครศรีธรรมราช!J554"")"),0)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3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IFERROR(__xludf.DUMMYFUNCTION("IMPORTRANGE(""https://docs.google.com/spreadsheets/d/1IYY_tgx_IHuhSq3AJ5eI5OnqOPBNLWSHKh2a30DoXe8/edit?usp=sharing"",""นครศรีธรรมราช!J555"")"),0)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3">
      <c r="A661" s="525"/>
      <c r="B661" s="526"/>
      <c r="C661" s="526"/>
      <c r="D661" s="526"/>
      <c r="E661" s="526"/>
      <c r="F661" s="598" t="s">
        <v>252</v>
      </c>
      <c r="G661" s="575"/>
      <c r="H661" s="529" t="s">
        <v>37</v>
      </c>
      <c r="I661" s="550"/>
      <c r="J661" s="547">
        <f ca="1">IFERROR(__xludf.DUMMYFUNCTION("IMPORTRANGE(""https://docs.google.com/spreadsheets/d/1IYY_tgx_IHuhSq3AJ5eI5OnqOPBNLWSHKh2a30DoXe8/edit?usp=sharing"",""นครศรีธรรมราช!J556"")"),0)</f>
        <v>0</v>
      </c>
      <c r="K661" s="548"/>
      <c r="L661" s="535">
        <f ca="1">IFERROR(__xludf.DUMMYFUNCTION("IMPORTRANGE(""https://docs.google.com/spreadsheets/d/1IYY_tgx_IHuhSq3AJ5eI5OnqOPBNLWSHKh2a30DoXe8/edit?usp=sharing"",""นครศรีธรรมราช!L556"")"),0)</f>
        <v>0</v>
      </c>
      <c r="M661" s="534"/>
      <c r="N661" s="549">
        <f ca="1">IFERROR(__xludf.DUMMYFUNCTION("IMPORTRANGE(""https://docs.google.com/spreadsheets/d/1IYY_tgx_IHuhSq3AJ5eI5OnqOPBNLWSHKh2a30DoXe8/edit?usp=sharing"",""นครศรีธรรมราช!M556"")"),0)</f>
        <v>0</v>
      </c>
      <c r="O661" s="548">
        <f ca="1">IF(L661&gt;0,N661*100/L661,0)</f>
        <v>0</v>
      </c>
      <c r="P661" s="548"/>
    </row>
    <row r="662" spans="1:16" ht="21.75" customHeight="1" x14ac:dyDescent="0.3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IFERROR(__xludf.DUMMYFUNCTION("IMPORTRANGE(""https://docs.google.com/spreadsheets/d/1IYY_tgx_IHuhSq3AJ5eI5OnqOPBNLWSHKh2a30DoXe8/edit?usp=sharing"",""นครศรีธรรมราช!J557"")"),0)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3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IFERROR(__xludf.DUMMYFUNCTION("IMPORTRANGE(""https://docs.google.com/spreadsheets/d/1IYY_tgx_IHuhSq3AJ5eI5OnqOPBNLWSHKh2a30DoXe8/edit?usp=sharing"",""นครศรีธรรมราช!I558"")"),0)</f>
        <v>0</v>
      </c>
      <c r="J663" s="547">
        <f ca="1">IFERROR(__xludf.DUMMYFUNCTION("IMPORTRANGE(""https://docs.google.com/spreadsheets/d/1IYY_tgx_IHuhSq3AJ5eI5OnqOPBNLWSHKh2a30DoXe8/edit?usp=sharing"",""นครศรีธรรมราช!J558"")"),0)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3">
      <c r="A664" s="525"/>
      <c r="B664" s="526"/>
      <c r="C664" s="526"/>
      <c r="D664" s="526"/>
      <c r="E664" s="526"/>
      <c r="F664" s="598" t="s">
        <v>253</v>
      </c>
      <c r="G664" s="575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3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IFERROR(__xludf.DUMMYFUNCTION("IMPORTRANGE(""https://docs.google.com/spreadsheets/d/1IYY_tgx_IHuhSq3AJ5eI5OnqOPBNLWSHKh2a30DoXe8/edit?usp=sharing"",""นครศรีธรรมราช!I560"")"),0)</f>
        <v>0</v>
      </c>
      <c r="J665" s="547">
        <f ca="1">IFERROR(__xludf.DUMMYFUNCTION("IMPORTRANGE(""https://docs.google.com/spreadsheets/d/1IYY_tgx_IHuhSq3AJ5eI5OnqOPBNLWSHKh2a30DoXe8/edit?usp=sharing"",""นครศรีธรรมราช!J560"")"),0)</f>
        <v>0</v>
      </c>
      <c r="K665" s="548">
        <f ca="1">IF(I665&gt;0,J665*100/I665,0)</f>
        <v>0</v>
      </c>
      <c r="L665" s="535">
        <f ca="1">IFERROR(__xludf.DUMMYFUNCTION("IMPORTRANGE(""https://docs.google.com/spreadsheets/d/1IYY_tgx_IHuhSq3AJ5eI5OnqOPBNLWSHKh2a30DoXe8/edit?usp=sharing"",""นครศรีธรรมราช!L560"")"),0)</f>
        <v>0</v>
      </c>
      <c r="M665" s="534"/>
      <c r="N665" s="549">
        <f ca="1">IFERROR(__xludf.DUMMYFUNCTION("IMPORTRANGE(""https://docs.google.com/spreadsheets/d/1IYY_tgx_IHuhSq3AJ5eI5OnqOPBNLWSHKh2a30DoXe8/edit?usp=sharing"",""นครศรีธรรมราช!M560"")"),0)</f>
        <v>0</v>
      </c>
      <c r="O665" s="548">
        <f ca="1">IF(L665&gt;0,N665*100/L665,0)</f>
        <v>0</v>
      </c>
      <c r="P665" s="548"/>
    </row>
    <row r="666" spans="1:16" ht="21.75" customHeight="1" x14ac:dyDescent="0.3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IFERROR(__xludf.DUMMYFUNCTION("IMPORTRANGE(""https://docs.google.com/spreadsheets/d/1IYY_tgx_IHuhSq3AJ5eI5OnqOPBNLWSHKh2a30DoXe8/edit?usp=sharing"",""นครศรีธรรมราช!J561"")"),0)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3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IFERROR(__xludf.DUMMYFUNCTION("IMPORTRANGE(""https://docs.google.com/spreadsheets/d/1IYY_tgx_IHuhSq3AJ5eI5OnqOPBNLWSHKh2a30DoXe8/edit?usp=sharing"",""นครศรีธรรมราช!J562"")"),0)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3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IFERROR(__xludf.DUMMYFUNCTION("IMPORTRANGE(""https://docs.google.com/spreadsheets/d/1IYY_tgx_IHuhSq3AJ5eI5OnqOPBNLWSHKh2a30DoXe8/edit?usp=sharing"",""นครศรีธรรมราช!I563"")"),0)</f>
        <v>0</v>
      </c>
      <c r="J668" s="547">
        <f ca="1">IFERROR(__xludf.DUMMYFUNCTION("IMPORTRANGE(""https://docs.google.com/spreadsheets/d/1IYY_tgx_IHuhSq3AJ5eI5OnqOPBNLWSHKh2a30DoXe8/edit?usp=sharing"",""นครศรีธรรมราช!J563"")"),0)</f>
        <v>0</v>
      </c>
      <c r="K668" s="548">
        <f ca="1">IF(I668&gt;0,J668*100/I668,0)</f>
        <v>0</v>
      </c>
      <c r="L668" s="535">
        <f ca="1">IFERROR(__xludf.DUMMYFUNCTION("IMPORTRANGE(""https://docs.google.com/spreadsheets/d/1IYY_tgx_IHuhSq3AJ5eI5OnqOPBNLWSHKh2a30DoXe8/edit?usp=sharing"",""นครศรีธรรมราช!L563"")"),0)</f>
        <v>0</v>
      </c>
      <c r="M668" s="534"/>
      <c r="N668" s="549">
        <f ca="1">IFERROR(__xludf.DUMMYFUNCTION("IMPORTRANGE(""https://docs.google.com/spreadsheets/d/1IYY_tgx_IHuhSq3AJ5eI5OnqOPBNLWSHKh2a30DoXe8/edit?usp=sharing"",""นครศรีธรรมราช!M563"")"),0)</f>
        <v>0</v>
      </c>
      <c r="O668" s="548">
        <f ca="1">IF(L668&gt;0,N668*100/L668,0)</f>
        <v>0</v>
      </c>
      <c r="P668" s="548"/>
    </row>
    <row r="669" spans="1:16" ht="21.75" customHeight="1" x14ac:dyDescent="0.3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IFERROR(__xludf.DUMMYFUNCTION("IMPORTRANGE(""https://docs.google.com/spreadsheets/d/1IYY_tgx_IHuhSq3AJ5eI5OnqOPBNLWSHKh2a30DoXe8/edit?usp=sharing"",""นครศรีธรรมราช!J564"")"),0)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3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IFERROR(__xludf.DUMMYFUNCTION("IMPORTRANGE(""https://docs.google.com/spreadsheets/d/1IYY_tgx_IHuhSq3AJ5eI5OnqOPBNLWSHKh2a30DoXe8/edit?usp=sharing"",""นครศรีธรรมราช!J565"")"),0)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3">
      <c r="A671" s="525"/>
      <c r="B671" s="526"/>
      <c r="C671" s="526"/>
      <c r="D671" s="526"/>
      <c r="E671" s="526"/>
      <c r="F671" s="598" t="s">
        <v>256</v>
      </c>
      <c r="G671" s="575"/>
      <c r="H671" s="529" t="s">
        <v>122</v>
      </c>
      <c r="I671" s="546">
        <f ca="1">IFERROR(__xludf.DUMMYFUNCTION("IMPORTRANGE(""https://docs.google.com/spreadsheets/d/1IYY_tgx_IHuhSq3AJ5eI5OnqOPBNLWSHKh2a30DoXe8/edit?usp=sharing"",""นครศรีธรรมราช!I566"")"),0)</f>
        <v>0</v>
      </c>
      <c r="J671" s="547">
        <f ca="1">J674+J677</f>
        <v>0</v>
      </c>
      <c r="K671" s="548">
        <f ca="1">IF(I671&gt;0,J671*100/I671,0)</f>
        <v>0</v>
      </c>
      <c r="L671" s="535">
        <f ca="1">IFERROR(__xludf.DUMMYFUNCTION("IMPORTRANGE(""https://docs.google.com/spreadsheets/d/1IYY_tgx_IHuhSq3AJ5eI5OnqOPBNLWSHKh2a30DoXe8/edit?usp=sharing"",""นครศรีธรรมราช!L566"")"),0)</f>
        <v>0</v>
      </c>
      <c r="M671" s="534"/>
      <c r="N671" s="549">
        <f ca="1">IFERROR(__xludf.DUMMYFUNCTION("IMPORTRANGE(""https://docs.google.com/spreadsheets/d/1IYY_tgx_IHuhSq3AJ5eI5OnqOPBNLWSHKh2a30DoXe8/edit?usp=sharing"",""นครศรีธรรมราช!M566"")"),0)</f>
        <v>0</v>
      </c>
      <c r="O671" s="548">
        <f ca="1">IF(L671&gt;0,N671*100/L671,0)</f>
        <v>0</v>
      </c>
      <c r="P671" s="548"/>
    </row>
    <row r="672" spans="1:16" ht="21.75" customHeight="1" x14ac:dyDescent="0.3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IFERROR(__xludf.DUMMYFUNCTION("IMPORTRANGE(""https://docs.google.com/spreadsheets/d/1IYY_tgx_IHuhSq3AJ5eI5OnqOPBNLWSHKh2a30DoXe8/edit?usp=sharing"",""นครศรีธรรมราช!J567"")"),0)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3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IFERROR(__xludf.DUMMYFUNCTION("IMPORTRANGE(""https://docs.google.com/spreadsheets/d/1IYY_tgx_IHuhSq3AJ5eI5OnqOPBNLWSHKh2a30DoXe8/edit?usp=sharing"",""นครศรีธรรมราช!J568"")"),0)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3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IFERROR(__xludf.DUMMYFUNCTION("IMPORTRANGE(""https://docs.google.com/spreadsheets/d/1IYY_tgx_IHuhSq3AJ5eI5OnqOPBNLWSHKh2a30DoXe8/edit?usp=sharing"",""นครศรีธรรมราช!J569"")"),0)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3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IFERROR(__xludf.DUMMYFUNCTION("IMPORTRANGE(""https://docs.google.com/spreadsheets/d/1IYY_tgx_IHuhSq3AJ5eI5OnqOPBNLWSHKh2a30DoXe8/edit?usp=sharing"",""นครศรีธรรมราช!J570"")"),0)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3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IFERROR(__xludf.DUMMYFUNCTION("IMPORTRANGE(""https://docs.google.com/spreadsheets/d/1IYY_tgx_IHuhSq3AJ5eI5OnqOPBNLWSHKh2a30DoXe8/edit?usp=sharing"",""นครศรีธรรมราช!J571"")"),0)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3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IFERROR(__xludf.DUMMYFUNCTION("IMPORTRANGE(""https://docs.google.com/spreadsheets/d/1IYY_tgx_IHuhSq3AJ5eI5OnqOPBNLWSHKh2a30DoXe8/edit?usp=sharing"",""นครศรีธรรมราช!J572"")"),0)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2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2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2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2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2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2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2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2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2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2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2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2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2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2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2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2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2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2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2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2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2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2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2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2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2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2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2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2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2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2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2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2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2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2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2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2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2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2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2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2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2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2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2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2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2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2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2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2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2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2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2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2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2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2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2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2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2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2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2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2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2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2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2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2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2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2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2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2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2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2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2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2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2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2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2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2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2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2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2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2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2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2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2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2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2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2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2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2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2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2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2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2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2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2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2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2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2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2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2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2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2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2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2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2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2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2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2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2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2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2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2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2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2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2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2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2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2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2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2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2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2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2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2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2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2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2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2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2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2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2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2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2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2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2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2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2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2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2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2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2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2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2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2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2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2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2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2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2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2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2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2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2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2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2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2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2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2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2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2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2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2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2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2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2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2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2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2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2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2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2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2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2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2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2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2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2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2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2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2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2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2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2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2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2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2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2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2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2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2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2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2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2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2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2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2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2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2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2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2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2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2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2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2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2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2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2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2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2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2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2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2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2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2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2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2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2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2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2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2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2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2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2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2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2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2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2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2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2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2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2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2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2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2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2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2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2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2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2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2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2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2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2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2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2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2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2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2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2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2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2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2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2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2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2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2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2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2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2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2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2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2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2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2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2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2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2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2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2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2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2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2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2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2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2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2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2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2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2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2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2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2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2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2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2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2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2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2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2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2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2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2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2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2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2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2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2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2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2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2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2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2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2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2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2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2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2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2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2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2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2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2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2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2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2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2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2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2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2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2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2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2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2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2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2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2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2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2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2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2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2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2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2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2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2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2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2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2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2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2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2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2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2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2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2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2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2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2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2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2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2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2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2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2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2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2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2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2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2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2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2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2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2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2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2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2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2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2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2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2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2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2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2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2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2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2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2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2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2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2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2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2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2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2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2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2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2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2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2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2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2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2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2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2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2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2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2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2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2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2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2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2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2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2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2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2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2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2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2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2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2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2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2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2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2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2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2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2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2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2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2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2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2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2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2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2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2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2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2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2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2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2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2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2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2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2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2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2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2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2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2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2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2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2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2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2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2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2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2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2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2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2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2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2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2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2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2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2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2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2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2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2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2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2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2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2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2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19685039370078741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32" max="16383" man="1"/>
    <brk id="626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86" t="s">
        <v>0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  <c r="N1" s="586"/>
      <c r="O1" s="586"/>
      <c r="P1" s="586"/>
    </row>
    <row r="2" spans="1:16" ht="18" customHeight="1" x14ac:dyDescent="0.25">
      <c r="A2" s="586" t="s">
        <v>268</v>
      </c>
      <c r="B2" s="586"/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86"/>
      <c r="P2" s="586"/>
    </row>
    <row r="3" spans="1:16" ht="18" customHeight="1" x14ac:dyDescent="0.25">
      <c r="A3" s="586" t="s">
        <v>290</v>
      </c>
      <c r="B3" s="586"/>
      <c r="C3" s="586"/>
      <c r="D3" s="586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  <c r="P3" s="586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2" t="s">
        <v>2</v>
      </c>
      <c r="B5" s="593"/>
      <c r="C5" s="593"/>
      <c r="D5" s="593"/>
      <c r="E5" s="593"/>
      <c r="F5" s="593"/>
      <c r="G5" s="594"/>
      <c r="H5" s="587" t="s">
        <v>3</v>
      </c>
      <c r="I5" s="589" t="s">
        <v>4</v>
      </c>
      <c r="J5" s="580"/>
      <c r="K5" s="581"/>
      <c r="L5" s="590" t="s">
        <v>5</v>
      </c>
      <c r="M5" s="581"/>
      <c r="N5" s="591" t="s">
        <v>6</v>
      </c>
      <c r="O5" s="580"/>
      <c r="P5" s="581"/>
    </row>
    <row r="6" spans="1:16" ht="21.75" customHeight="1" x14ac:dyDescent="0.25">
      <c r="A6" s="595"/>
      <c r="B6" s="596"/>
      <c r="C6" s="596"/>
      <c r="D6" s="596"/>
      <c r="E6" s="596"/>
      <c r="F6" s="596"/>
      <c r="G6" s="597"/>
      <c r="H6" s="58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5" t="s">
        <v>15</v>
      </c>
      <c r="B7" s="580"/>
      <c r="C7" s="580"/>
      <c r="D7" s="580"/>
      <c r="E7" s="580"/>
      <c r="F7" s="580"/>
      <c r="G7" s="58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4" t="s">
        <v>17</v>
      </c>
      <c r="E8" s="573"/>
      <c r="F8" s="573"/>
      <c r="G8" s="573"/>
      <c r="H8" s="20" t="s">
        <v>12</v>
      </c>
      <c r="I8" s="21"/>
      <c r="J8" s="21"/>
      <c r="K8" s="22"/>
      <c r="L8" s="23">
        <f t="shared" ref="L8:N8" ca="1" si="0">L9+L10</f>
        <v>4595816</v>
      </c>
      <c r="M8" s="23">
        <f t="shared" ca="1" si="0"/>
        <v>3113258</v>
      </c>
      <c r="N8" s="23">
        <f t="shared" ca="1" si="0"/>
        <v>4258617.28</v>
      </c>
      <c r="O8" s="22">
        <f t="shared" ref="O8:O16" ca="1" si="1">IF(L8&gt;0,N8*100/L8,0)</f>
        <v>92.662919490249394</v>
      </c>
      <c r="P8" s="22">
        <f t="shared" ref="P8:P16" ca="1" si="2">IF(M8&gt;0,N8*100/M8,0)</f>
        <v>136.78973217124954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4595816</v>
      </c>
      <c r="M10" s="30">
        <f t="shared" ca="1" si="4"/>
        <v>3113258</v>
      </c>
      <c r="N10" s="30">
        <f t="shared" ca="1" si="4"/>
        <v>4258617.28</v>
      </c>
      <c r="O10" s="29">
        <f t="shared" ca="1" si="1"/>
        <v>92.662919490249394</v>
      </c>
      <c r="P10" s="29">
        <f t="shared" ca="1" si="2"/>
        <v>136.78973217124954</v>
      </c>
    </row>
    <row r="11" spans="1:16" ht="21.75" customHeight="1" x14ac:dyDescent="0.3">
      <c r="A11" s="31"/>
      <c r="B11" s="32"/>
      <c r="C11" s="33" t="s">
        <v>16</v>
      </c>
      <c r="D11" s="574" t="s">
        <v>20</v>
      </c>
      <c r="E11" s="575"/>
      <c r="F11" s="57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2741416</v>
      </c>
      <c r="M12" s="38">
        <f t="shared" ca="1" si="6"/>
        <v>2162858</v>
      </c>
      <c r="N12" s="38">
        <f t="shared" ca="1" si="6"/>
        <v>2404217.2800000003</v>
      </c>
      <c r="O12" s="38">
        <f t="shared" ca="1" si="1"/>
        <v>87.699833954423568</v>
      </c>
      <c r="P12" s="38">
        <f t="shared" ca="1" si="2"/>
        <v>111.15927536620528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1479793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1261623</v>
      </c>
      <c r="M14" s="38">
        <f t="shared" si="8"/>
        <v>0</v>
      </c>
      <c r="N14" s="38">
        <f t="shared" ca="1" si="8"/>
        <v>624181.44999999995</v>
      </c>
      <c r="O14" s="41">
        <f t="shared" ca="1" si="1"/>
        <v>49.474482472180668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4" t="s">
        <v>23</v>
      </c>
      <c r="E15" s="57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1854400</v>
      </c>
      <c r="M16" s="38">
        <f t="shared" ca="1" si="10"/>
        <v>950400</v>
      </c>
      <c r="N16" s="38">
        <f t="shared" ca="1" si="10"/>
        <v>1854400</v>
      </c>
      <c r="O16" s="50">
        <f t="shared" ca="1" si="1"/>
        <v>100</v>
      </c>
      <c r="P16" s="50">
        <f t="shared" ca="1" si="2"/>
        <v>195.11784511784512</v>
      </c>
    </row>
    <row r="17" spans="1:16" ht="21.75" customHeight="1" x14ac:dyDescent="0.3">
      <c r="A17" s="585" t="s">
        <v>24</v>
      </c>
      <c r="B17" s="580"/>
      <c r="C17" s="580"/>
      <c r="D17" s="580"/>
      <c r="E17" s="580"/>
      <c r="F17" s="580"/>
      <c r="G17" s="58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4" t="s">
        <v>17</v>
      </c>
      <c r="E18" s="573"/>
      <c r="F18" s="573"/>
      <c r="G18" s="573"/>
      <c r="H18" s="20" t="s">
        <v>12</v>
      </c>
      <c r="I18" s="21"/>
      <c r="J18" s="21"/>
      <c r="K18" s="22"/>
      <c r="L18" s="23">
        <f t="shared" ref="L18:N18" ca="1" si="11">L19+L20</f>
        <v>3031338</v>
      </c>
      <c r="M18" s="23">
        <f t="shared" ca="1" si="11"/>
        <v>3113258</v>
      </c>
      <c r="N18" s="23">
        <f t="shared" ca="1" si="11"/>
        <v>2730435.83</v>
      </c>
      <c r="O18" s="22">
        <f t="shared" ref="O18:O20" ca="1" si="12">IF(L18&gt;0,N18*100/L18,0)</f>
        <v>90.073618646287542</v>
      </c>
      <c r="P18" s="22">
        <f t="shared" ref="P18:P26" ca="1" si="13">IF(M18&gt;0,N18*100/M18,0)</f>
        <v>87.703487150759756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3031338</v>
      </c>
      <c r="M20" s="30">
        <f t="shared" ca="1" si="15"/>
        <v>3113258</v>
      </c>
      <c r="N20" s="30">
        <f t="shared" ca="1" si="15"/>
        <v>2730435.83</v>
      </c>
      <c r="O20" s="29">
        <f t="shared" ca="1" si="12"/>
        <v>90.073618646287542</v>
      </c>
      <c r="P20" s="29">
        <f t="shared" ca="1" si="13"/>
        <v>87.703487150759756</v>
      </c>
    </row>
    <row r="21" spans="1:16" ht="21.75" customHeight="1" x14ac:dyDescent="0.3">
      <c r="A21" s="31"/>
      <c r="B21" s="32"/>
      <c r="C21" s="33" t="s">
        <v>16</v>
      </c>
      <c r="D21" s="574" t="s">
        <v>20</v>
      </c>
      <c r="E21" s="575"/>
      <c r="F21" s="575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2080938</v>
      </c>
      <c r="M22" s="42">
        <f t="shared" ca="1" si="18"/>
        <v>2162858</v>
      </c>
      <c r="N22" s="41">
        <f t="shared" ca="1" si="18"/>
        <v>1780035.83</v>
      </c>
      <c r="O22" s="41">
        <f t="shared" ca="1" si="17"/>
        <v>85.540070391333145</v>
      </c>
      <c r="P22" s="41">
        <f t="shared" ca="1" si="13"/>
        <v>82.300170885004931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1479793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601145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4" t="s">
        <v>23</v>
      </c>
      <c r="E25" s="575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950400</v>
      </c>
      <c r="M26" s="50">
        <f t="shared" ca="1" si="22"/>
        <v>950400</v>
      </c>
      <c r="N26" s="50">
        <f t="shared" ca="1" si="22"/>
        <v>950400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85" t="s">
        <v>25</v>
      </c>
      <c r="B27" s="580"/>
      <c r="C27" s="580"/>
      <c r="D27" s="580"/>
      <c r="E27" s="580"/>
      <c r="F27" s="580"/>
      <c r="G27" s="58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4" t="s">
        <v>17</v>
      </c>
      <c r="E28" s="573"/>
      <c r="F28" s="573"/>
      <c r="G28" s="573"/>
      <c r="H28" s="20" t="s">
        <v>12</v>
      </c>
      <c r="I28" s="21"/>
      <c r="J28" s="21"/>
      <c r="K28" s="22"/>
      <c r="L28" s="23">
        <f t="shared" ref="L28:N28" ca="1" si="23">L29+L30</f>
        <v>1564478</v>
      </c>
      <c r="M28" s="23">
        <f t="shared" si="23"/>
        <v>0</v>
      </c>
      <c r="N28" s="23">
        <f t="shared" ca="1" si="23"/>
        <v>1528181.45</v>
      </c>
      <c r="O28" s="22">
        <f t="shared" ref="O28:O30" ca="1" si="24">IF(L28&gt;0,N28*100/L28,0)</f>
        <v>97.679957787837225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1564478</v>
      </c>
      <c r="M30" s="30">
        <f t="shared" si="27"/>
        <v>0</v>
      </c>
      <c r="N30" s="30">
        <f t="shared" ca="1" si="27"/>
        <v>1528181.45</v>
      </c>
      <c r="O30" s="29">
        <f t="shared" ca="1" si="24"/>
        <v>97.679957787837225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4" t="s">
        <v>20</v>
      </c>
      <c r="E31" s="575"/>
      <c r="F31" s="575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ca="1">L352+L383+L404+L437+L457+L535+L553+L566+L582+L599-904000</f>
        <v>660478</v>
      </c>
      <c r="M32" s="41">
        <f>M352+M383+M404+M437+M457+M535+M553+M566+M582+M599</f>
        <v>0</v>
      </c>
      <c r="N32" s="41">
        <f ca="1">(N352+N383+N404+N437+N457+N535+N553+N566+N582+N599)-904000</f>
        <v>624181.44999999995</v>
      </c>
      <c r="O32" s="41">
        <f t="shared" ca="1" si="29"/>
        <v>94.504502799487639</v>
      </c>
      <c r="P32" s="41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0">L353+L384+L405+L438+L458+L536+L554+L567+L583+L600</f>
        <v>0</v>
      </c>
      <c r="M33" s="41">
        <f t="shared" si="30"/>
        <v>0</v>
      </c>
      <c r="N33" s="41">
        <f t="shared" ca="1" si="30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1">L354+L385+L406+L439+L459+L537+L555+L568+L584+L601</f>
        <v>660478</v>
      </c>
      <c r="M34" s="41">
        <f t="shared" si="31"/>
        <v>0</v>
      </c>
      <c r="N34" s="41">
        <f t="shared" ca="1" si="31"/>
        <v>624181.44999999995</v>
      </c>
      <c r="O34" s="41">
        <f t="shared" ca="1" si="29"/>
        <v>94.504502799487639</v>
      </c>
      <c r="P34" s="41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4" t="s">
        <v>23</v>
      </c>
      <c r="E35" s="575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904000</v>
      </c>
      <c r="M36" s="52">
        <v>0</v>
      </c>
      <c r="N36" s="52">
        <v>904000</v>
      </c>
      <c r="O36" s="50">
        <f t="shared" si="29"/>
        <v>100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2">L41+L53+L66+L94+L118+L140+L220+L250+L271+L290+L310+L329</f>
        <v>3031338</v>
      </c>
      <c r="M37" s="55">
        <f t="shared" ca="1" si="32"/>
        <v>3113258</v>
      </c>
      <c r="N37" s="55">
        <f t="shared" ca="1" si="32"/>
        <v>2730435.83</v>
      </c>
      <c r="O37" s="56">
        <f t="shared" ca="1" si="29"/>
        <v>90.073618646287542</v>
      </c>
      <c r="P37" s="56">
        <f t="shared" ca="1" si="25"/>
        <v>87.703487150759756</v>
      </c>
    </row>
    <row r="38" spans="1:16" ht="21.75" customHeight="1" x14ac:dyDescent="0.3">
      <c r="A38" s="579" t="s">
        <v>27</v>
      </c>
      <c r="B38" s="580"/>
      <c r="C38" s="580"/>
      <c r="D38" s="580"/>
      <c r="E38" s="580"/>
      <c r="F38" s="580"/>
      <c r="G38" s="581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82" t="s">
        <v>28</v>
      </c>
      <c r="C39" s="573"/>
      <c r="D39" s="573"/>
      <c r="E39" s="573"/>
      <c r="F39" s="573"/>
      <c r="G39" s="573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83" t="s">
        <v>17</v>
      </c>
      <c r="E41" s="575"/>
      <c r="F41" s="575"/>
      <c r="G41" s="575"/>
      <c r="H41" s="76" t="s">
        <v>12</v>
      </c>
      <c r="I41" s="77"/>
      <c r="J41" s="77"/>
      <c r="K41" s="78"/>
      <c r="L41" s="79">
        <f t="shared" ref="L41:N41" ca="1" si="33">L42+L43</f>
        <v>1505900</v>
      </c>
      <c r="M41" s="79">
        <f t="shared" ca="1" si="33"/>
        <v>1505900</v>
      </c>
      <c r="N41" s="79">
        <f t="shared" ca="1" si="33"/>
        <v>1423716.42</v>
      </c>
      <c r="O41" s="78">
        <f t="shared" ref="O41:O43" ca="1" si="34">IF(L41&gt;0,N41*100/L41,0)</f>
        <v>94.542560594993034</v>
      </c>
      <c r="P41" s="78">
        <f t="shared" ref="P41:P43" ca="1" si="35">IF(M41&gt;0,N41*100/M41,0)</f>
        <v>94.542560594993034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6">L44+L48</f>
        <v>0</v>
      </c>
      <c r="M42" s="79">
        <f t="shared" si="36"/>
        <v>0</v>
      </c>
      <c r="N42" s="79">
        <f t="shared" si="36"/>
        <v>0</v>
      </c>
      <c r="O42" s="78">
        <f t="shared" si="34"/>
        <v>0</v>
      </c>
      <c r="P42" s="78">
        <f t="shared" si="35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7">L45+L49</f>
        <v>1505900</v>
      </c>
      <c r="M43" s="79">
        <f t="shared" ca="1" si="37"/>
        <v>1505900</v>
      </c>
      <c r="N43" s="79">
        <f t="shared" ca="1" si="37"/>
        <v>1423716.42</v>
      </c>
      <c r="O43" s="78">
        <f t="shared" ca="1" si="34"/>
        <v>94.542560594993034</v>
      </c>
      <c r="P43" s="78">
        <f t="shared" ca="1" si="35"/>
        <v>94.542560594993034</v>
      </c>
    </row>
    <row r="44" spans="1:16" ht="21.75" customHeight="1" x14ac:dyDescent="0.3">
      <c r="A44" s="80"/>
      <c r="B44" s="81"/>
      <c r="C44" s="82" t="s">
        <v>16</v>
      </c>
      <c r="D44" s="576" t="s">
        <v>20</v>
      </c>
      <c r="E44" s="575"/>
      <c r="F44" s="575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555500</v>
      </c>
      <c r="M45" s="91">
        <f ca="1">IFERROR(__xludf.DUMMYFUNCTION("IMPORTRANGE(""https://docs.google.com/spreadsheets/d/1Yj_ptqi66GCucihVvJfMjLAmec39IyEx_6qawtMGysU/edit?usp=sharing"",""สบก!Q85"")"),555500)</f>
        <v>555500</v>
      </c>
      <c r="N45" s="91">
        <f ca="1">IFERROR(__xludf.DUMMYFUNCTION("IMPORTRANGE(""https://docs.google.com/spreadsheets/d/1Yj_ptqi66GCucihVvJfMjLAmec39IyEx_6qawtMGysU/edit?usp=sharing"",""สบก!R85"")"),473316.42)</f>
        <v>473316.42</v>
      </c>
      <c r="O45" s="92">
        <f ca="1">IF(L45&gt;0,N45*100/L45,0)</f>
        <v>85.20547614761476</v>
      </c>
      <c r="P45" s="92">
        <f ca="1">IF(M45&gt;0,N45*100/M45,0)</f>
        <v>85.20547614761476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IFERROR(__xludf.DUMMYFUNCTION("IMPORTRANGE(""https://docs.google.com/spreadsheets/d/1Yj_ptqi66GCucihVvJfMjLAmec39IyEx_6qawtMGysU/edit?usp=sharing"",""สบก!M85"")"),555500)</f>
        <v>555500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IFERROR(__xludf.DUMMYFUNCTION("IMPORTRANGE(""https://docs.google.com/spreadsheets/d/1Yj_ptqi66GCucihVvJfMjLAmec39IyEx_6qawtMGysU/edit?usp=sharing"",""สบก!N85"")"),0)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6" t="s">
        <v>23</v>
      </c>
      <c r="E48" s="57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IFERROR(__xludf.DUMMYFUNCTION("IMPORTRANGE(""https://docs.google.com/spreadsheets/d/1Yj_ptqi66GCucihVvJfMjLAmec39IyEx_6qawtMGysU/edit?usp=sharing"",""สบก!O85"")"),950400)</f>
        <v>950400</v>
      </c>
      <c r="M49" s="101">
        <f ca="1">L49</f>
        <v>950400</v>
      </c>
      <c r="N49" s="91">
        <f ca="1">IFERROR(__xludf.DUMMYFUNCTION("IMPORTRANGE(""https://docs.google.com/spreadsheets/d/1Yj_ptqi66GCucihVvJfMjLAmec39IyEx_6qawtMGysU/edit?usp=sharing"",""สบก!S85"")"),950400)</f>
        <v>950400</v>
      </c>
      <c r="O49" s="101">
        <f ca="1">IF(L49&gt;0,N49*100/L49,0)</f>
        <v>100</v>
      </c>
      <c r="P49" s="101">
        <f ca="1">IF(M49&gt;0,N49*100/M49,0)</f>
        <v>100</v>
      </c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577" t="s">
        <v>32</v>
      </c>
      <c r="C52" s="575"/>
      <c r="D52" s="575"/>
      <c r="E52" s="575"/>
      <c r="F52" s="575"/>
      <c r="G52" s="575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578" t="s">
        <v>17</v>
      </c>
      <c r="E53" s="575"/>
      <c r="F53" s="575"/>
      <c r="G53" s="575"/>
      <c r="H53" s="122" t="s">
        <v>12</v>
      </c>
      <c r="I53" s="123"/>
      <c r="J53" s="123"/>
      <c r="K53" s="124"/>
      <c r="L53" s="125">
        <f t="shared" ref="L53:N53" ca="1" si="38">L54+L55</f>
        <v>417493</v>
      </c>
      <c r="M53" s="125">
        <f t="shared" ca="1" si="38"/>
        <v>417493</v>
      </c>
      <c r="N53" s="125">
        <f t="shared" ca="1" si="38"/>
        <v>382243</v>
      </c>
      <c r="O53" s="124">
        <f t="shared" ref="O53:O55" ca="1" si="39">IF(L53&gt;0,N53*100/L53,0)</f>
        <v>91.556744663982386</v>
      </c>
      <c r="P53" s="124">
        <f t="shared" ref="P53:P55" ca="1" si="40">IF(M53&gt;0,N53*100/M53,0)</f>
        <v>91.556744663982386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1">L56+L60</f>
        <v>0</v>
      </c>
      <c r="M54" s="125">
        <f t="shared" si="41"/>
        <v>0</v>
      </c>
      <c r="N54" s="125">
        <f t="shared" si="41"/>
        <v>0</v>
      </c>
      <c r="O54" s="124">
        <f t="shared" si="39"/>
        <v>0</v>
      </c>
      <c r="P54" s="124">
        <f t="shared" si="40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2">L57+L61</f>
        <v>417493</v>
      </c>
      <c r="M55" s="125">
        <f t="shared" ca="1" si="42"/>
        <v>417493</v>
      </c>
      <c r="N55" s="125">
        <f t="shared" ca="1" si="42"/>
        <v>382243</v>
      </c>
      <c r="O55" s="124">
        <f t="shared" ca="1" si="39"/>
        <v>91.556744663982386</v>
      </c>
      <c r="P55" s="124">
        <f t="shared" ca="1" si="40"/>
        <v>91.556744663982386</v>
      </c>
    </row>
    <row r="56" spans="1:16" ht="21.75" customHeight="1" x14ac:dyDescent="0.3">
      <c r="A56" s="80"/>
      <c r="B56" s="81"/>
      <c r="C56" s="82" t="s">
        <v>16</v>
      </c>
      <c r="D56" s="576" t="s">
        <v>20</v>
      </c>
      <c r="E56" s="575"/>
      <c r="F56" s="575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417493</v>
      </c>
      <c r="M57" s="91">
        <f ca="1">IFERROR(__xludf.DUMMYFUNCTION("IMPORTRANGE(""https://docs.google.com/spreadsheets/d/1Yj_ptqi66GCucihVvJfMjLAmec39IyEx_6qawtMGysU/edit?usp=sharing"",""สบก!Z85"")"),417493)</f>
        <v>417493</v>
      </c>
      <c r="N57" s="91">
        <f ca="1">IFERROR(__xludf.DUMMYFUNCTION("IMPORTRANGE(""https://docs.google.com/spreadsheets/d/1Yj_ptqi66GCucihVvJfMjLAmec39IyEx_6qawtMGysU/edit?usp=sharing"",""สบก!AA85"")"),382243)</f>
        <v>382243</v>
      </c>
      <c r="O57" s="92">
        <f ca="1">IF(L57&gt;0,N57*100/L57,0)</f>
        <v>91.556744663982386</v>
      </c>
      <c r="P57" s="92">
        <f ca="1">IF(M57&gt;0,N57*100/M57,0)</f>
        <v>91.556744663982386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IFERROR(__xludf.DUMMYFUNCTION("IMPORTRANGE(""https://docs.google.com/spreadsheets/d/1Yj_ptqi66GCucihVvJfMjLAmec39IyEx_6qawtMGysU/edit?usp=sharing"",""สบก!V85"")"),417493)</f>
        <v>417493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IFERROR(__xludf.DUMMYFUNCTION("IMPORTRANGE(""https://docs.google.com/spreadsheets/d/1Yj_ptqi66GCucihVvJfMjLAmec39IyEx_6qawtMGysU/edit?usp=sharing"",""สบก!W85"")"),0)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6" t="s">
        <v>23</v>
      </c>
      <c r="E60" s="57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IFERROR(__xludf.DUMMYFUNCTION("IMPORTRANGE(""https://docs.google.com/spreadsheets/d/1Yj_ptqi66GCucihVvJfMjLAmec39IyEx_6qawtMGysU/edit?usp=sharing"",""สบก!X85"")"),0)</f>
        <v>0</v>
      </c>
      <c r="M61" s="101"/>
      <c r="N61" s="91">
        <f ca="1">IFERROR(__xludf.DUMMYFUNCTION("IMPORTRANGE(""https://docs.google.com/spreadsheets/d/1Yj_ptqi66GCucihVvJfMjLAmec39IyEx_6qawtMGysU/edit?usp=sharing"",""สบก!AB85"")"),0)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IFERROR(__xludf.DUMMYFUNCTION("IMPORTRANGE(""https://docs.google.com/spreadsheets/d/1IYY_tgx_IHuhSq3AJ5eI5OnqOPBNLWSHKh2a30DoXe8/edit?usp=sharing"",""นราธิวาส!I9"")"),0)</f>
        <v>0</v>
      </c>
      <c r="J64" s="146">
        <f ca="1">IFERROR(__xludf.DUMMYFUNCTION("IMPORTRANGE(""https://docs.google.com/spreadsheets/d/1IYY_tgx_IHuhSq3AJ5eI5OnqOPBNLWSHKh2a30DoXe8/edit?usp=sharing"",""นราธิวาส!J9"")"),0)</f>
        <v>0</v>
      </c>
      <c r="K64" s="147">
        <f t="shared" ref="K64:K65" ca="1" si="43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IFERROR(__xludf.DUMMYFUNCTION("IMPORTRANGE(""https://docs.google.com/spreadsheets/d/1IYY_tgx_IHuhSq3AJ5eI5OnqOPBNLWSHKh2a30DoXe8/edit?usp=sharing"",""นราธิวาส!I10"")"),0)</f>
        <v>0</v>
      </c>
      <c r="J65" s="146">
        <f ca="1">IFERROR(__xludf.DUMMYFUNCTION("IMPORTRANGE(""https://docs.google.com/spreadsheets/d/1IYY_tgx_IHuhSq3AJ5eI5OnqOPBNLWSHKh2a30DoXe8/edit?usp=sharing"",""นราธิวาส!J10"")"),0)</f>
        <v>0</v>
      </c>
      <c r="K65" s="147">
        <f t="shared" ca="1" si="43"/>
        <v>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2" t="s">
        <v>17</v>
      </c>
      <c r="E66" s="573"/>
      <c r="F66" s="573"/>
      <c r="G66" s="573"/>
      <c r="H66" s="153" t="s">
        <v>12</v>
      </c>
      <c r="I66" s="154"/>
      <c r="J66" s="154"/>
      <c r="K66" s="155"/>
      <c r="L66" s="156">
        <f t="shared" ref="L66:N66" ca="1" si="44">L67+L68</f>
        <v>0</v>
      </c>
      <c r="M66" s="156">
        <f t="shared" ca="1" si="44"/>
        <v>0</v>
      </c>
      <c r="N66" s="156">
        <f t="shared" ca="1" si="44"/>
        <v>0</v>
      </c>
      <c r="O66" s="155">
        <f t="shared" ref="O66:O68" ca="1" si="45">IF(L66&gt;0,N66*100/L66,0)</f>
        <v>0</v>
      </c>
      <c r="P66" s="155">
        <f t="shared" ref="P66:P68" ca="1" si="46">IF(M66&gt;0,N66*100/M66,0)</f>
        <v>0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7">L69+L73</f>
        <v>0</v>
      </c>
      <c r="M67" s="161">
        <f t="shared" si="47"/>
        <v>0</v>
      </c>
      <c r="N67" s="161">
        <f t="shared" si="47"/>
        <v>0</v>
      </c>
      <c r="O67" s="160">
        <f t="shared" si="45"/>
        <v>0</v>
      </c>
      <c r="P67" s="160">
        <f t="shared" si="46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8">L70+L74</f>
        <v>0</v>
      </c>
      <c r="M68" s="161">
        <f t="shared" ca="1" si="48"/>
        <v>0</v>
      </c>
      <c r="N68" s="161">
        <f t="shared" ca="1" si="48"/>
        <v>0</v>
      </c>
      <c r="O68" s="160">
        <f t="shared" ca="1" si="45"/>
        <v>0</v>
      </c>
      <c r="P68" s="160">
        <f t="shared" ca="1" si="46"/>
        <v>0</v>
      </c>
    </row>
    <row r="69" spans="1:16" ht="21.75" customHeight="1" x14ac:dyDescent="0.3">
      <c r="A69" s="162"/>
      <c r="B69" s="163"/>
      <c r="C69" s="163" t="s">
        <v>16</v>
      </c>
      <c r="D69" s="574" t="s">
        <v>20</v>
      </c>
      <c r="E69" s="575"/>
      <c r="F69" s="575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IFERROR(__xludf.DUMMYFUNCTION("IMPORTRANGE(""https://docs.google.com/spreadsheets/d/1Yj_ptqi66GCucihVvJfMjLAmec39IyEx_6qawtMGysU/edit?usp=sharing"",""สบก!AI85"")"),0)</f>
        <v>0</v>
      </c>
      <c r="N70" s="174">
        <f ca="1">IFERROR(__xludf.DUMMYFUNCTION("IMPORTRANGE(""https://docs.google.com/spreadsheets/d/1Yj_ptqi66GCucihVvJfMjLAmec39IyEx_6qawtMGysU/edit?usp=sharing"",""สบก!AJ85"")"),0)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IFERROR(__xludf.DUMMYFUNCTION("IMPORTRANGE(""https://docs.google.com/spreadsheets/d/1Yj_ptqi66GCucihVvJfMjLAmec39IyEx_6qawtMGysU/edit?usp=sharing"",""สบก!AE85"")"),0)</f>
        <v>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IFERROR(__xludf.DUMMYFUNCTION("IMPORTRANGE(""https://docs.google.com/spreadsheets/d/1Yj_ptqi66GCucihVvJfMjLAmec39IyEx_6qawtMGysU/edit?usp=sharing"",""สบก!AF85"")"),0)</f>
        <v>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6" t="s">
        <v>23</v>
      </c>
      <c r="E73" s="575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IFERROR(__xludf.DUMMYFUNCTION("IMPORTRANGE(""https://docs.google.com/spreadsheets/d/1Yj_ptqi66GCucihVvJfMjLAmec39IyEx_6qawtMGysU/edit?usp=sharing"",""สบก!AG85"")"),0)</f>
        <v>0</v>
      </c>
      <c r="M74" s="101"/>
      <c r="N74" s="91">
        <f ca="1">IFERROR(__xludf.DUMMYFUNCTION("IMPORTRANGE(""https://docs.google.com/spreadsheets/d/1Yj_ptqi66GCucihVvJfMjLAmec39IyEx_6qawtMGysU/edit?usp=sharing"",""สบก!AK85"")"),0)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IFERROR(__xludf.DUMMYFUNCTION("IMPORTRANGE(""https://docs.google.com/spreadsheets/d/1IYY_tgx_IHuhSq3AJ5eI5OnqOPBNLWSHKh2a30DoXe8/edit?usp=sharing"",""นราธิวาส!J16"")"),0)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IFERROR(__xludf.DUMMYFUNCTION("IMPORTRANGE(""https://docs.google.com/spreadsheets/d/1IYY_tgx_IHuhSq3AJ5eI5OnqOPBNLWSHKh2a30DoXe8/edit?usp=sharing"",""นราธิวาส!J17"")"),0)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IFERROR(__xludf.DUMMYFUNCTION("IMPORTRANGE(""https://docs.google.com/spreadsheets/d/1IYY_tgx_IHuhSq3AJ5eI5OnqOPBNLWSHKh2a30DoXe8/edit?usp=sharing"",""นราธิวาส!J18"")"),0)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IFERROR(__xludf.DUMMYFUNCTION("IMPORTRANGE(""https://docs.google.com/spreadsheets/d/1IYY_tgx_IHuhSq3AJ5eI5OnqOPBNLWSHKh2a30DoXe8/edit?usp=sharing"",""นราธิวาส!J19"")"),0)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IFERROR(__xludf.DUMMYFUNCTION("IMPORTRANGE(""https://docs.google.com/spreadsheets/d/1IYY_tgx_IHuhSq3AJ5eI5OnqOPBNLWSHKh2a30DoXe8/edit?usp=sharing"",""นราธิวาส!I20"")"),0)</f>
        <v>0</v>
      </c>
      <c r="J80" s="207">
        <f ca="1">IFERROR(__xludf.DUMMYFUNCTION("IMPORTRANGE(""https://docs.google.com/spreadsheets/d/1IYY_tgx_IHuhSq3AJ5eI5OnqOPBNLWSHKh2a30DoXe8/edit?usp=sharing"",""นราธิวาส!J20"")"),0)</f>
        <v>0</v>
      </c>
      <c r="K80" s="208">
        <f t="shared" ref="K80:K88" ca="1" si="49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IFERROR(__xludf.DUMMYFUNCTION("IMPORTRANGE(""https://docs.google.com/spreadsheets/d/1IYY_tgx_IHuhSq3AJ5eI5OnqOPBNLWSHKh2a30DoXe8/edit?usp=sharing"",""นราธิวาส!I21"")"),0)</f>
        <v>0</v>
      </c>
      <c r="J81" s="207">
        <f ca="1">IFERROR(__xludf.DUMMYFUNCTION("IMPORTRANGE(""https://docs.google.com/spreadsheets/d/1IYY_tgx_IHuhSq3AJ5eI5OnqOPBNLWSHKh2a30DoXe8/edit?usp=sharing"",""นราธิวาส!J21"")"),0)</f>
        <v>0</v>
      </c>
      <c r="K81" s="208">
        <f t="shared" ca="1" si="49"/>
        <v>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IFERROR(__xludf.DUMMYFUNCTION("IMPORTRANGE(""https://docs.google.com/spreadsheets/d/1IYY_tgx_IHuhSq3AJ5eI5OnqOPBNLWSHKh2a30DoXe8/edit?usp=sharing"",""นราธิวาส!I22"")"),0)</f>
        <v>0</v>
      </c>
      <c r="J82" s="210">
        <f ca="1">IFERROR(__xludf.DUMMYFUNCTION("IMPORTRANGE(""https://docs.google.com/spreadsheets/d/1IYY_tgx_IHuhSq3AJ5eI5OnqOPBNLWSHKh2a30DoXe8/edit?usp=sharing"",""นราธิวาส!J22"")"),0)</f>
        <v>0</v>
      </c>
      <c r="K82" s="167">
        <f t="shared" ca="1" si="49"/>
        <v>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IFERROR(__xludf.DUMMYFUNCTION("IMPORTRANGE(""https://docs.google.com/spreadsheets/d/1IYY_tgx_IHuhSq3AJ5eI5OnqOPBNLWSHKh2a30DoXe8/edit?usp=sharing"",""นราธิวาส!I23"")"),0)</f>
        <v>0</v>
      </c>
      <c r="J83" s="210">
        <f ca="1">IFERROR(__xludf.DUMMYFUNCTION("IMPORTRANGE(""https://docs.google.com/spreadsheets/d/1IYY_tgx_IHuhSq3AJ5eI5OnqOPBNLWSHKh2a30DoXe8/edit?usp=sharing"",""นราธิวาส!J23"")"),0)</f>
        <v>0</v>
      </c>
      <c r="K83" s="167">
        <f t="shared" ca="1" si="49"/>
        <v>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IFERROR(__xludf.DUMMYFUNCTION("IMPORTRANGE(""https://docs.google.com/spreadsheets/d/1IYY_tgx_IHuhSq3AJ5eI5OnqOPBNLWSHKh2a30DoXe8/edit?usp=sharing"",""นราธิวาส!I24"")"),0)</f>
        <v>0</v>
      </c>
      <c r="J84" s="195">
        <f ca="1">IFERROR(__xludf.DUMMYFUNCTION("IMPORTRANGE(""https://docs.google.com/spreadsheets/d/1IYY_tgx_IHuhSq3AJ5eI5OnqOPBNLWSHKh2a30DoXe8/edit?usp=sharing"",""นราธิวาส!J24"")"),0)</f>
        <v>0</v>
      </c>
      <c r="K84" s="167">
        <f t="shared" ca="1" si="49"/>
        <v>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IFERROR(__xludf.DUMMYFUNCTION("IMPORTRANGE(""https://docs.google.com/spreadsheets/d/1IYY_tgx_IHuhSq3AJ5eI5OnqOPBNLWSHKh2a30DoXe8/edit?usp=sharing"",""นราธิวาส!I25"")"),0)</f>
        <v>0</v>
      </c>
      <c r="J85" s="195">
        <f ca="1">IFERROR(__xludf.DUMMYFUNCTION("IMPORTRANGE(""https://docs.google.com/spreadsheets/d/1IYY_tgx_IHuhSq3AJ5eI5OnqOPBNLWSHKh2a30DoXe8/edit?usp=sharing"",""นราธิวาส!J25"")"),0)</f>
        <v>0</v>
      </c>
      <c r="K85" s="167">
        <f t="shared" ca="1" si="49"/>
        <v>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IFERROR(__xludf.DUMMYFUNCTION("IMPORTRANGE(""https://docs.google.com/spreadsheets/d/1IYY_tgx_IHuhSq3AJ5eI5OnqOPBNLWSHKh2a30DoXe8/edit?usp=sharing"",""นราธิวาส!I26"")"),0)</f>
        <v>0</v>
      </c>
      <c r="J86" s="210">
        <f ca="1">IFERROR(__xludf.DUMMYFUNCTION("IMPORTRANGE(""https://docs.google.com/spreadsheets/d/1IYY_tgx_IHuhSq3AJ5eI5OnqOPBNLWSHKh2a30DoXe8/edit?usp=sharing"",""นราธิวาส!J26"")"),0)</f>
        <v>0</v>
      </c>
      <c r="K86" s="167">
        <f t="shared" ca="1" si="49"/>
        <v>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IFERROR(__xludf.DUMMYFUNCTION("IMPORTRANGE(""https://docs.google.com/spreadsheets/d/1IYY_tgx_IHuhSq3AJ5eI5OnqOPBNLWSHKh2a30DoXe8/edit?usp=sharing"",""นราธิวาส!I27"")"),0)</f>
        <v>0</v>
      </c>
      <c r="J87" s="210">
        <f ca="1">IFERROR(__xludf.DUMMYFUNCTION("IMPORTRANGE(""https://docs.google.com/spreadsheets/d/1IYY_tgx_IHuhSq3AJ5eI5OnqOPBNLWSHKh2a30DoXe8/edit?usp=sharing"",""นราธิวาส!J27"")"),0)</f>
        <v>0</v>
      </c>
      <c r="K87" s="167">
        <f t="shared" ca="1" si="49"/>
        <v>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IFERROR(__xludf.DUMMYFUNCTION("IMPORTRANGE(""https://docs.google.com/spreadsheets/d/1IYY_tgx_IHuhSq3AJ5eI5OnqOPBNLWSHKh2a30DoXe8/edit?usp=sharing"",""นราธิวาส!I28"")"),0)</f>
        <v>0</v>
      </c>
      <c r="J88" s="210">
        <f ca="1">IFERROR(__xludf.DUMMYFUNCTION("IMPORTRANGE(""https://docs.google.com/spreadsheets/d/1IYY_tgx_IHuhSq3AJ5eI5OnqOPBNLWSHKh2a30DoXe8/edit?usp=sharing"",""นราธิวาส!J28"")"),0)</f>
        <v>0</v>
      </c>
      <c r="K88" s="167">
        <f t="shared" ca="1" si="49"/>
        <v>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IFERROR(__xludf.DUMMYFUNCTION("IMPORTRANGE(""https://docs.google.com/spreadsheets/d/1IYY_tgx_IHuhSq3AJ5eI5OnqOPBNLWSHKh2a30DoXe8/edit?usp=sharing"",""นราธิวาส!J29"")"),0)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IFERROR(__xludf.DUMMYFUNCTION("IMPORTRANGE(""https://docs.google.com/spreadsheets/d/1IYY_tgx_IHuhSq3AJ5eI5OnqOPBNLWSHKh2a30DoXe8/edit?usp=sharing"",""นราธิวาส!J30"")"),0)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IFERROR(__xludf.DUMMYFUNCTION("IMPORTRANGE(""https://docs.google.com/spreadsheets/d/1IYY_tgx_IHuhSq3AJ5eI5OnqOPBNLWSHKh2a30DoXe8/edit?usp=sharing"",""นราธิวาส!I32"")"),0)</f>
        <v>0</v>
      </c>
      <c r="J92" s="146">
        <f ca="1">IFERROR(__xludf.DUMMYFUNCTION("IMPORTRANGE(""https://docs.google.com/spreadsheets/d/1IYY_tgx_IHuhSq3AJ5eI5OnqOPBNLWSHKh2a30DoXe8/edit?usp=sharing"",""นราธิวาส!J32"")"),0)</f>
        <v>0</v>
      </c>
      <c r="K92" s="147">
        <f t="shared" ref="K92:K93" ca="1" si="50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IFERROR(__xludf.DUMMYFUNCTION("IMPORTRANGE(""https://docs.google.com/spreadsheets/d/1IYY_tgx_IHuhSq3AJ5eI5OnqOPBNLWSHKh2a30DoXe8/edit?usp=sharing"",""นราธิวาส!I33"")"),0)</f>
        <v>0</v>
      </c>
      <c r="J93" s="146">
        <f ca="1">IFERROR(__xludf.DUMMYFUNCTION("IMPORTRANGE(""https://docs.google.com/spreadsheets/d/1IYY_tgx_IHuhSq3AJ5eI5OnqOPBNLWSHKh2a30DoXe8/edit?usp=sharing"",""นราธิวาส!J33"")"),0)</f>
        <v>0</v>
      </c>
      <c r="K93" s="147">
        <f t="shared" ca="1" si="50"/>
        <v>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2" t="s">
        <v>17</v>
      </c>
      <c r="E94" s="573"/>
      <c r="F94" s="573"/>
      <c r="G94" s="573"/>
      <c r="H94" s="153" t="s">
        <v>12</v>
      </c>
      <c r="I94" s="166"/>
      <c r="J94" s="166"/>
      <c r="K94" s="167"/>
      <c r="L94" s="156">
        <f t="shared" ref="L94:N94" ca="1" si="51">L95+L96</f>
        <v>0</v>
      </c>
      <c r="M94" s="156">
        <f t="shared" ca="1" si="51"/>
        <v>0</v>
      </c>
      <c r="N94" s="156">
        <f t="shared" ca="1" si="51"/>
        <v>0</v>
      </c>
      <c r="O94" s="155">
        <f t="shared" ref="O94:O96" ca="1" si="52">IF(L94&gt;0,N94*100/L94,0)</f>
        <v>0</v>
      </c>
      <c r="P94" s="155">
        <f t="shared" ref="P94:P96" ca="1" si="53">IF(M94&gt;0,N94*100/M94,0)</f>
        <v>0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4">L97+L101</f>
        <v>0</v>
      </c>
      <c r="M95" s="161">
        <f t="shared" si="54"/>
        <v>0</v>
      </c>
      <c r="N95" s="161">
        <f t="shared" si="54"/>
        <v>0</v>
      </c>
      <c r="O95" s="160">
        <f t="shared" si="52"/>
        <v>0</v>
      </c>
      <c r="P95" s="160">
        <f t="shared" si="53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5">L98+L102</f>
        <v>0</v>
      </c>
      <c r="M96" s="161">
        <f t="shared" ca="1" si="55"/>
        <v>0</v>
      </c>
      <c r="N96" s="161">
        <f t="shared" ca="1" si="55"/>
        <v>0</v>
      </c>
      <c r="O96" s="160">
        <f t="shared" ca="1" si="52"/>
        <v>0</v>
      </c>
      <c r="P96" s="160">
        <f t="shared" ca="1" si="53"/>
        <v>0</v>
      </c>
    </row>
    <row r="97" spans="1:16" ht="21.75" customHeight="1" x14ac:dyDescent="0.3">
      <c r="A97" s="162"/>
      <c r="B97" s="163"/>
      <c r="C97" s="163" t="s">
        <v>16</v>
      </c>
      <c r="D97" s="574" t="s">
        <v>20</v>
      </c>
      <c r="E97" s="575"/>
      <c r="F97" s="575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0</v>
      </c>
      <c r="M98" s="173">
        <f ca="1">IFERROR(__xludf.DUMMYFUNCTION("IMPORTRANGE(""https://docs.google.com/spreadsheets/d/1Yj_ptqi66GCucihVvJfMjLAmec39IyEx_6qawtMGysU/edit?usp=sharing"",""สบก!AR85"")"),0)</f>
        <v>0</v>
      </c>
      <c r="N98" s="174">
        <f ca="1">IFERROR(__xludf.DUMMYFUNCTION("IMPORTRANGE(""https://docs.google.com/spreadsheets/d/1Yj_ptqi66GCucihVvJfMjLAmec39IyEx_6qawtMGysU/edit?usp=sharing"",""สบก!AS85"")"),0)</f>
        <v>0</v>
      </c>
      <c r="O98" s="175">
        <f ca="1">IF(L98&gt;0,N98*100/L98,0)</f>
        <v>0</v>
      </c>
      <c r="P98" s="175">
        <f ca="1">IF(M98&gt;0,N98*100/M98,0)</f>
        <v>0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IFERROR(__xludf.DUMMYFUNCTION("IMPORTRANGE(""https://docs.google.com/spreadsheets/d/1Yj_ptqi66GCucihVvJfMjLAmec39IyEx_6qawtMGysU/edit?usp=sharing"",""สบก!AN85"")"),0)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IFERROR(__xludf.DUMMYFUNCTION("IMPORTRANGE(""https://docs.google.com/spreadsheets/d/1Yj_ptqi66GCucihVvJfMjLAmec39IyEx_6qawtMGysU/edit?usp=sharing"",""สบก!AO85"")"),0)</f>
        <v>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6" t="s">
        <v>23</v>
      </c>
      <c r="E101" s="575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IFERROR(__xludf.DUMMYFUNCTION("IMPORTRANGE(""https://docs.google.com/spreadsheets/d/1Yj_ptqi66GCucihVvJfMjLAmec39IyEx_6qawtMGysU/edit?usp=sharing"",""สบก!AP85"")"),0)</f>
        <v>0</v>
      </c>
      <c r="M102" s="101"/>
      <c r="N102" s="91">
        <f ca="1">IFERROR(__xludf.DUMMYFUNCTION("IMPORTRANGE(""https://docs.google.com/spreadsheets/d/1Yj_ptqi66GCucihVvJfMjLAmec39IyEx_6qawtMGysU/edit?usp=sharing"",""สบก!AT85"")"),0)</f>
        <v>0</v>
      </c>
      <c r="O102" s="101">
        <f ca="1">IF(L102&gt;0,N102*100/L102,0)</f>
        <v>0</v>
      </c>
      <c r="P102" s="101"/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IFERROR(__xludf.DUMMYFUNCTION("IMPORTRANGE(""https://docs.google.com/spreadsheets/d/1IYY_tgx_IHuhSq3AJ5eI5OnqOPBNLWSHKh2a30DoXe8/edit?usp=sharing"",""นราธิวาส!J39"")"),0)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IFERROR(__xludf.DUMMYFUNCTION("IMPORTRANGE(""https://docs.google.com/spreadsheets/d/1IYY_tgx_IHuhSq3AJ5eI5OnqOPBNLWSHKh2a30DoXe8/edit?usp=sharing"",""นราธิวาส!J40"")"),0)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IFERROR(__xludf.DUMMYFUNCTION("IMPORTRANGE(""https://docs.google.com/spreadsheets/d/1IYY_tgx_IHuhSq3AJ5eI5OnqOPBNLWSHKh2a30DoXe8/edit?usp=sharing"",""นราธิวาส!J41"")"),0)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IFERROR(__xludf.DUMMYFUNCTION("IMPORTRANGE(""https://docs.google.com/spreadsheets/d/1IYY_tgx_IHuhSq3AJ5eI5OnqOPBNLWSHKh2a30DoXe8/edit?usp=sharing"",""นราธิวาส!J42"")"),0)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IFERROR(__xludf.DUMMYFUNCTION("IMPORTRANGE(""https://docs.google.com/spreadsheets/d/1IYY_tgx_IHuhSq3AJ5eI5OnqOPBNLWSHKh2a30DoXe8/edit?usp=sharing"",""นราธิวาส!I43"")"),0)</f>
        <v>0</v>
      </c>
      <c r="J108" s="210">
        <f ca="1">IFERROR(__xludf.DUMMYFUNCTION("IMPORTRANGE(""https://docs.google.com/spreadsheets/d/1IYY_tgx_IHuhSq3AJ5eI5OnqOPBNLWSHKh2a30DoXe8/edit?usp=sharing"",""นราธิวาส!J43"")"),0)</f>
        <v>0</v>
      </c>
      <c r="K108" s="230">
        <f t="shared" ref="K108:K113" ca="1" si="56">IF(I108&gt;0,J108*100/I108,0)</f>
        <v>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IFERROR(__xludf.DUMMYFUNCTION("IMPORTRANGE(""https://docs.google.com/spreadsheets/d/1IYY_tgx_IHuhSq3AJ5eI5OnqOPBNLWSHKh2a30DoXe8/edit?usp=sharing"",""นราธิวาส!I44"")"),0)</f>
        <v>0</v>
      </c>
      <c r="J109" s="210">
        <f ca="1">IFERROR(__xludf.DUMMYFUNCTION("IMPORTRANGE(""https://docs.google.com/spreadsheets/d/1IYY_tgx_IHuhSq3AJ5eI5OnqOPBNLWSHKh2a30DoXe8/edit?usp=sharing"",""นราธิวาส!J44"")"),0)</f>
        <v>0</v>
      </c>
      <c r="K109" s="230">
        <f t="shared" ca="1" si="56"/>
        <v>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IFERROR(__xludf.DUMMYFUNCTION("IMPORTRANGE(""https://docs.google.com/spreadsheets/d/1IYY_tgx_IHuhSq3AJ5eI5OnqOPBNLWSHKh2a30DoXe8/edit?usp=sharing"",""นราธิวาส!I45"")"),0)</f>
        <v>0</v>
      </c>
      <c r="J110" s="210">
        <f ca="1">IFERROR(__xludf.DUMMYFUNCTION("IMPORTRANGE(""https://docs.google.com/spreadsheets/d/1IYY_tgx_IHuhSq3AJ5eI5OnqOPBNLWSHKh2a30DoXe8/edit?usp=sharing"",""นราธิวาส!J45"")"),0)</f>
        <v>0</v>
      </c>
      <c r="K110" s="230">
        <f t="shared" ca="1" si="56"/>
        <v>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IFERROR(__xludf.DUMMYFUNCTION("IMPORTRANGE(""https://docs.google.com/spreadsheets/d/1IYY_tgx_IHuhSq3AJ5eI5OnqOPBNLWSHKh2a30DoXe8/edit?usp=sharing"",""นราธิวาส!I46"")"),0)</f>
        <v>0</v>
      </c>
      <c r="J111" s="210">
        <f ca="1">IFERROR(__xludf.DUMMYFUNCTION("IMPORTRANGE(""https://docs.google.com/spreadsheets/d/1IYY_tgx_IHuhSq3AJ5eI5OnqOPBNLWSHKh2a30DoXe8/edit?usp=sharing"",""นราธิวาส!J46"")"),0)</f>
        <v>0</v>
      </c>
      <c r="K111" s="230">
        <f t="shared" ca="1" si="56"/>
        <v>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IFERROR(__xludf.DUMMYFUNCTION("IMPORTRANGE(""https://docs.google.com/spreadsheets/d/1IYY_tgx_IHuhSq3AJ5eI5OnqOPBNLWSHKh2a30DoXe8/edit?usp=sharing"",""นราธิวาส!I47"")"),0)</f>
        <v>0</v>
      </c>
      <c r="J112" s="210">
        <f ca="1">IFERROR(__xludf.DUMMYFUNCTION("IMPORTRANGE(""https://docs.google.com/spreadsheets/d/1IYY_tgx_IHuhSq3AJ5eI5OnqOPBNLWSHKh2a30DoXe8/edit?usp=sharing"",""นราธิวาส!J47"")"),0)</f>
        <v>0</v>
      </c>
      <c r="K112" s="230">
        <f t="shared" ca="1" si="56"/>
        <v>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IFERROR(__xludf.DUMMYFUNCTION("IMPORTRANGE(""https://docs.google.com/spreadsheets/d/1IYY_tgx_IHuhSq3AJ5eI5OnqOPBNLWSHKh2a30DoXe8/edit?usp=sharing"",""นราธิวาส!I48"")"),0)</f>
        <v>0</v>
      </c>
      <c r="J113" s="210">
        <f ca="1">IFERROR(__xludf.DUMMYFUNCTION("IMPORTRANGE(""https://docs.google.com/spreadsheets/d/1IYY_tgx_IHuhSq3AJ5eI5OnqOPBNLWSHKh2a30DoXe8/edit?usp=sharing"",""นราธิวาส!J48"")"),0)</f>
        <v>0</v>
      </c>
      <c r="K113" s="230">
        <f t="shared" ca="1" si="56"/>
        <v>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IFERROR(__xludf.DUMMYFUNCTION("IMPORTRANGE(""https://docs.google.com/spreadsheets/d/1IYY_tgx_IHuhSq3AJ5eI5OnqOPBNLWSHKh2a30DoXe8/edit?usp=sharing"",""นราธิวาส!J49"")"),0)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IFERROR(__xludf.DUMMYFUNCTION("IMPORTRANGE(""https://docs.google.com/spreadsheets/d/1IYY_tgx_IHuhSq3AJ5eI5OnqOPBNLWSHKh2a30DoXe8/edit?usp=sharing"",""นราธิวาส!J50"")"),0)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IFERROR(__xludf.DUMMYFUNCTION("IMPORTRANGE(""https://docs.google.com/spreadsheets/d/1IYY_tgx_IHuhSq3AJ5eI5OnqOPBNLWSHKh2a30DoXe8/edit?usp=sharing"",""นราธิวาส!I52"")"),0)</f>
        <v>0</v>
      </c>
      <c r="J117" s="146">
        <f ca="1">IFERROR(__xludf.DUMMYFUNCTION("IMPORTRANGE(""https://docs.google.com/spreadsheets/d/1IYY_tgx_IHuhSq3AJ5eI5OnqOPBNLWSHKh2a30DoXe8/edit?usp=sharing"",""นราธิวาส!J52"")"),0)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2" t="s">
        <v>17</v>
      </c>
      <c r="E118" s="573"/>
      <c r="F118" s="573"/>
      <c r="G118" s="573"/>
      <c r="H118" s="153" t="s">
        <v>12</v>
      </c>
      <c r="I118" s="166"/>
      <c r="J118" s="166"/>
      <c r="K118" s="167"/>
      <c r="L118" s="156">
        <f t="shared" ref="L118:N118" ca="1" si="57">L119+L120</f>
        <v>0</v>
      </c>
      <c r="M118" s="156">
        <f t="shared" ca="1" si="57"/>
        <v>0</v>
      </c>
      <c r="N118" s="156">
        <f t="shared" ca="1" si="57"/>
        <v>0</v>
      </c>
      <c r="O118" s="155">
        <f t="shared" ref="O118:O120" ca="1" si="58">IF(L118&gt;0,N118*100/L118,0)</f>
        <v>0</v>
      </c>
      <c r="P118" s="155">
        <f t="shared" ref="P118:P120" ca="1" si="59">IF(M118&gt;0,N118*100/M118,0)</f>
        <v>0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0">L121+L125</f>
        <v>0</v>
      </c>
      <c r="M119" s="161">
        <f t="shared" si="60"/>
        <v>0</v>
      </c>
      <c r="N119" s="161">
        <f t="shared" si="60"/>
        <v>0</v>
      </c>
      <c r="O119" s="160">
        <f t="shared" si="58"/>
        <v>0</v>
      </c>
      <c r="P119" s="160">
        <f t="shared" si="59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1">L122+L126</f>
        <v>0</v>
      </c>
      <c r="M120" s="161">
        <f t="shared" ca="1" si="61"/>
        <v>0</v>
      </c>
      <c r="N120" s="161">
        <f t="shared" ca="1" si="61"/>
        <v>0</v>
      </c>
      <c r="O120" s="160">
        <f t="shared" ca="1" si="58"/>
        <v>0</v>
      </c>
      <c r="P120" s="160">
        <f t="shared" ca="1" si="59"/>
        <v>0</v>
      </c>
    </row>
    <row r="121" spans="1:16" ht="21.75" customHeight="1" x14ac:dyDescent="0.3">
      <c r="A121" s="162"/>
      <c r="B121" s="163"/>
      <c r="C121" s="163" t="s">
        <v>16</v>
      </c>
      <c r="D121" s="574" t="s">
        <v>20</v>
      </c>
      <c r="E121" s="575"/>
      <c r="F121" s="575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0</v>
      </c>
      <c r="M122" s="173">
        <f ca="1">IFERROR(__xludf.DUMMYFUNCTION("IMPORTRANGE(""https://docs.google.com/spreadsheets/d/1Yj_ptqi66GCucihVvJfMjLAmec39IyEx_6qawtMGysU/edit?usp=sharing"",""สบก!BA85"")"),0)</f>
        <v>0</v>
      </c>
      <c r="N122" s="174">
        <f ca="1">IFERROR(__xludf.DUMMYFUNCTION("IMPORTRANGE(""https://docs.google.com/spreadsheets/d/1Yj_ptqi66GCucihVvJfMjLAmec39IyEx_6qawtMGysU/edit?usp=sharing"",""สบก!BB85"")"),0)</f>
        <v>0</v>
      </c>
      <c r="O122" s="175">
        <f ca="1">IF(L122&gt;0,N122*100/L122,0)</f>
        <v>0</v>
      </c>
      <c r="P122" s="175">
        <f ca="1">IF(M122&gt;0,N122*100/M122,0)</f>
        <v>0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IFERROR(__xludf.DUMMYFUNCTION("IMPORTRANGE(""https://docs.google.com/spreadsheets/d/1Yj_ptqi66GCucihVvJfMjLAmec39IyEx_6qawtMGysU/edit?usp=sharing"",""สบก!AW85"")"),0)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IFERROR(__xludf.DUMMYFUNCTION("IMPORTRANGE(""https://docs.google.com/spreadsheets/d/1Yj_ptqi66GCucihVvJfMjLAmec39IyEx_6qawtMGysU/edit?usp=sharing"",""สบก!AX85"")"),0)</f>
        <v>0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6" t="s">
        <v>23</v>
      </c>
      <c r="E125" s="575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IFERROR(__xludf.DUMMYFUNCTION("IMPORTRANGE(""https://docs.google.com/spreadsheets/d/1Yj_ptqi66GCucihVvJfMjLAmec39IyEx_6qawtMGysU/edit?usp=sharing"",""สบก!AY85"")"),0)</f>
        <v>0</v>
      </c>
      <c r="M126" s="101"/>
      <c r="N126" s="91">
        <f ca="1">IFERROR(__xludf.DUMMYFUNCTION("IMPORTRANGE(""https://docs.google.com/spreadsheets/d/1Yj_ptqi66GCucihVvJfMjLAmec39IyEx_6qawtMGysU/edit?usp=sharing"",""สบก!BC85"")"),0)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269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IFERROR(__xludf.DUMMYFUNCTION("IMPORTRANGE(""https://docs.google.com/spreadsheets/d/1IYY_tgx_IHuhSq3AJ5eI5OnqOPBNLWSHKh2a30DoXe8/edit?usp=sharing"",""นราธิวาส!J58"")"),0)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IFERROR(__xludf.DUMMYFUNCTION("IMPORTRANGE(""https://docs.google.com/spreadsheets/d/1IYY_tgx_IHuhSq3AJ5eI5OnqOPBNLWSHKh2a30DoXe8/edit?usp=sharing"",""นราธิวาส!J59"")"),0)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IFERROR(__xludf.DUMMYFUNCTION("IMPORTRANGE(""https://docs.google.com/spreadsheets/d/1IYY_tgx_IHuhSq3AJ5eI5OnqOPBNLWSHKh2a30DoXe8/edit?usp=sharing"",""นราธิวาส!J60"")"),0)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IFERROR(__xludf.DUMMYFUNCTION("IMPORTRANGE(""https://docs.google.com/spreadsheets/d/1IYY_tgx_IHuhSq3AJ5eI5OnqOPBNLWSHKh2a30DoXe8/edit?usp=sharing"",""นราธิวาส!J61"")"),0)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IFERROR(__xludf.DUMMYFUNCTION("IMPORTRANGE(""https://docs.google.com/spreadsheets/d/1IYY_tgx_IHuhSq3AJ5eI5OnqOPBNLWSHKh2a30DoXe8/edit?usp=sharing"",""นราธิวาส!I62"")"),0)</f>
        <v>0</v>
      </c>
      <c r="J132" s="210">
        <f ca="1">IFERROR(__xludf.DUMMYFUNCTION("IMPORTRANGE(""https://docs.google.com/spreadsheets/d/1IYY_tgx_IHuhSq3AJ5eI5OnqOPBNLWSHKh2a30DoXe8/edit?usp=sharing"",""นราธิวาส!J62"")"),0)</f>
        <v>0</v>
      </c>
      <c r="K132" s="230">
        <f t="shared" ref="K132:K133" ca="1" si="62">IF(I132&gt;0,J132*100/I132,0)</f>
        <v>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IFERROR(__xludf.DUMMYFUNCTION("IMPORTRANGE(""https://docs.google.com/spreadsheets/d/1IYY_tgx_IHuhSq3AJ5eI5OnqOPBNLWSHKh2a30DoXe8/edit?usp=sharing"",""นราธิวาส!I63"")"),0)</f>
        <v>0</v>
      </c>
      <c r="J133" s="210">
        <f ca="1">IFERROR(__xludf.DUMMYFUNCTION("IMPORTRANGE(""https://docs.google.com/spreadsheets/d/1IYY_tgx_IHuhSq3AJ5eI5OnqOPBNLWSHKh2a30DoXe8/edit?usp=sharing"",""นราธิวาส!J63"")"),0)</f>
        <v>0</v>
      </c>
      <c r="K133" s="230">
        <f t="shared" ca="1" si="62"/>
        <v>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IFERROR(__xludf.DUMMYFUNCTION("IMPORTRANGE(""https://docs.google.com/spreadsheets/d/1IYY_tgx_IHuhSq3AJ5eI5OnqOPBNLWSHKh2a30DoXe8/edit?usp=sharing"",""นราธิวาส!J64"")"),0)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IFERROR(__xludf.DUMMYFUNCTION("IMPORTRANGE(""https://docs.google.com/spreadsheets/d/1IYY_tgx_IHuhSq3AJ5eI5OnqOPBNLWSHKh2a30DoXe8/edit?usp=sharing"",""นราธิวาส!J65"")"),0)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IFERROR(__xludf.DUMMYFUNCTION("IMPORTRANGE(""https://docs.google.com/spreadsheets/d/1IYY_tgx_IHuhSq3AJ5eI5OnqOPBNLWSHKh2a30DoXe8/edit?usp=sharing"",""นราธิวาส!I68"")"),0)</f>
        <v>0</v>
      </c>
      <c r="J138" s="273">
        <f ca="1">IFERROR(__xludf.DUMMYFUNCTION("IMPORTRANGE(""https://docs.google.com/spreadsheets/d/1IYY_tgx_IHuhSq3AJ5eI5OnqOPBNLWSHKh2a30DoXe8/edit?usp=sharing"",""นราธิวาส!J68"")"),0)</f>
        <v>0</v>
      </c>
      <c r="K138" s="274">
        <f ca="1">IF(I138&gt;0,J138*100/I138,0)</f>
        <v>0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2" t="s">
        <v>17</v>
      </c>
      <c r="E140" s="573"/>
      <c r="F140" s="573"/>
      <c r="G140" s="573"/>
      <c r="H140" s="153" t="s">
        <v>12</v>
      </c>
      <c r="I140" s="166"/>
      <c r="J140" s="166"/>
      <c r="K140" s="167"/>
      <c r="L140" s="156">
        <f t="shared" ref="L140:N140" ca="1" si="63">L141+L142</f>
        <v>51000</v>
      </c>
      <c r="M140" s="156">
        <f t="shared" ca="1" si="63"/>
        <v>51000</v>
      </c>
      <c r="N140" s="156">
        <f t="shared" ca="1" si="63"/>
        <v>51000</v>
      </c>
      <c r="O140" s="155">
        <f t="shared" ref="O140:O142" ca="1" si="64">IF(L140&gt;0,N140*100/L140,0)</f>
        <v>100</v>
      </c>
      <c r="P140" s="155">
        <f t="shared" ref="P140:P142" ca="1" si="65">IF(M140&gt;0,N140*100/M140,0)</f>
        <v>100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6">L143+L147</f>
        <v>0</v>
      </c>
      <c r="M141" s="161">
        <f t="shared" si="66"/>
        <v>0</v>
      </c>
      <c r="N141" s="161">
        <f t="shared" si="66"/>
        <v>0</v>
      </c>
      <c r="O141" s="160">
        <f t="shared" si="64"/>
        <v>0</v>
      </c>
      <c r="P141" s="160">
        <f t="shared" si="65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7">L144+L148</f>
        <v>51000</v>
      </c>
      <c r="M142" s="161">
        <f t="shared" ca="1" si="67"/>
        <v>51000</v>
      </c>
      <c r="N142" s="161">
        <f t="shared" ca="1" si="67"/>
        <v>51000</v>
      </c>
      <c r="O142" s="160">
        <f t="shared" ca="1" si="64"/>
        <v>100</v>
      </c>
      <c r="P142" s="160">
        <f t="shared" ca="1" si="65"/>
        <v>100</v>
      </c>
    </row>
    <row r="143" spans="1:16" ht="21.75" customHeight="1" x14ac:dyDescent="0.3">
      <c r="A143" s="162"/>
      <c r="B143" s="163"/>
      <c r="C143" s="163" t="s">
        <v>16</v>
      </c>
      <c r="D143" s="574" t="s">
        <v>20</v>
      </c>
      <c r="E143" s="575"/>
      <c r="F143" s="575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51000</v>
      </c>
      <c r="M144" s="173">
        <f ca="1">IFERROR(__xludf.DUMMYFUNCTION("IMPORTRANGE(""https://docs.google.com/spreadsheets/d/1Yj_ptqi66GCucihVvJfMjLAmec39IyEx_6qawtMGysU/edit?usp=sharing"",""สบก!BJ85"")"),51000)</f>
        <v>51000</v>
      </c>
      <c r="N144" s="174">
        <f ca="1">IFERROR(__xludf.DUMMYFUNCTION("IMPORTRANGE(""https://docs.google.com/spreadsheets/d/1Yj_ptqi66GCucihVvJfMjLAmec39IyEx_6qawtMGysU/edit?usp=sharing"",""สบก!BK85"")"),51000)</f>
        <v>51000</v>
      </c>
      <c r="O144" s="175">
        <f ca="1">IF(L144&gt;0,N144*100/L144,0)</f>
        <v>100</v>
      </c>
      <c r="P144" s="175">
        <f ca="1">IF(M144&gt;0,N144*100/M144,0)</f>
        <v>100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IFERROR(__xludf.DUMMYFUNCTION("IMPORTRANGE(""https://docs.google.com/spreadsheets/d/1Yj_ptqi66GCucihVvJfMjLAmec39IyEx_6qawtMGysU/edit?usp=sharing"",""สบก!BF85"")"),0)</f>
        <v>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IFERROR(__xludf.DUMMYFUNCTION("IMPORTRANGE(""https://docs.google.com/spreadsheets/d/1Yj_ptqi66GCucihVvJfMjLAmec39IyEx_6qawtMGysU/edit?usp=sharing"",""สบก!BG85"")"),51000)</f>
        <v>51000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6" t="s">
        <v>23</v>
      </c>
      <c r="E147" s="575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IFERROR(__xludf.DUMMYFUNCTION("IMPORTRANGE(""https://docs.google.com/spreadsheets/d/1Yj_ptqi66GCucihVvJfMjLAmec39IyEx_6qawtMGysU/edit?usp=sharing"",""สบก!BH85"")"),0)</f>
        <v>0</v>
      </c>
      <c r="M148" s="101"/>
      <c r="N148" s="91">
        <f ca="1">IFERROR(__xludf.DUMMYFUNCTION("IMPORTRANGE(""https://docs.google.com/spreadsheets/d/1Yj_ptqi66GCucihVvJfMjLAmec39IyEx_6qawtMGysU/edit?usp=sharing"",""สบก!BL85"")"),0)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IFERROR(__xludf.DUMMYFUNCTION("IMPORTRANGE(""https://docs.google.com/spreadsheets/d/1IYY_tgx_IHuhSq3AJ5eI5OnqOPBNLWSHKh2a30DoXe8/edit?usp=sharing"",""นราธิวาส!I74"")"),4)</f>
        <v>4</v>
      </c>
      <c r="J149" s="281">
        <f ca="1">IFERROR(__xludf.DUMMYFUNCTION("IMPORTRANGE(""https://docs.google.com/spreadsheets/d/1IYY_tgx_IHuhSq3AJ5eI5OnqOPBNLWSHKh2a30DoXe8/edit?usp=sharing"",""นราธิวาส!J74"")"),4)</f>
        <v>4</v>
      </c>
      <c r="K149" s="282">
        <f ca="1">IF(I149&gt;0,J149*100/I149,0)</f>
        <v>100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IFERROR(__xludf.DUMMYFUNCTION("IMPORTRANGE(""https://docs.google.com/spreadsheets/d/1IYY_tgx_IHuhSq3AJ5eI5OnqOPBNLWSHKh2a30DoXe8/edit?usp=sharing"",""นราธิวาส!J79"")"),0)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IFERROR(__xludf.DUMMYFUNCTION("IMPORTRANGE(""https://docs.google.com/spreadsheets/d/1IYY_tgx_IHuhSq3AJ5eI5OnqOPBNLWSHKh2a30DoXe8/edit?usp=sharing"",""นราธิวาส!J80"")"),1)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IFERROR(__xludf.DUMMYFUNCTION("IMPORTRANGE(""https://docs.google.com/spreadsheets/d/1IYY_tgx_IHuhSq3AJ5eI5OnqOPBNLWSHKh2a30DoXe8/edit?usp=sharing"",""นราธิวาส!J81"")"),1)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IFERROR(__xludf.DUMMYFUNCTION("IMPORTRANGE(""https://docs.google.com/spreadsheets/d/1IYY_tgx_IHuhSq3AJ5eI5OnqOPBNLWSHKh2a30DoXe8/edit?usp=sharing"",""นราธิวาส!J82"")"),1)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IFERROR(__xludf.DUMMYFUNCTION("IMPORTRANGE(""https://docs.google.com/spreadsheets/d/1IYY_tgx_IHuhSq3AJ5eI5OnqOPBNLWSHKh2a30DoXe8/edit?usp=sharing"",""นราธิวาส!I83"")"),4)</f>
        <v>4</v>
      </c>
      <c r="J158" s="195">
        <f ca="1">IFERROR(__xludf.DUMMYFUNCTION("IMPORTRANGE(""https://docs.google.com/spreadsheets/d/1IYY_tgx_IHuhSq3AJ5eI5OnqOPBNLWSHKh2a30DoXe8/edit?usp=sharing"",""นราธิวาส!J83"")"),4)</f>
        <v>4</v>
      </c>
      <c r="K158" s="167">
        <f ca="1">IF(I158&gt;0,J158*100/I158,0)</f>
        <v>100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IFERROR(__xludf.DUMMYFUNCTION("IMPORTRANGE(""https://docs.google.com/spreadsheets/d/1IYY_tgx_IHuhSq3AJ5eI5OnqOPBNLWSHKh2a30DoXe8/edit?usp=sharing"",""นราธิวาส!J84"")"),207)</f>
        <v>207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IFERROR(__xludf.DUMMYFUNCTION("IMPORTRANGE(""https://docs.google.com/spreadsheets/d/1IYY_tgx_IHuhSq3AJ5eI5OnqOPBNLWSHKh2a30DoXe8/edit?usp=sharing"",""นราธิวาส!J85"")"),207)</f>
        <v>207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IFERROR(__xludf.DUMMYFUNCTION("IMPORTRANGE(""https://docs.google.com/spreadsheets/d/1IYY_tgx_IHuhSq3AJ5eI5OnqOPBNLWSHKh2a30DoXe8/edit?usp=sharing"",""นราธิวาส!J86"")"),0)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IFERROR(__xludf.DUMMYFUNCTION("IMPORTRANGE(""https://docs.google.com/spreadsheets/d/1IYY_tgx_IHuhSq3AJ5eI5OnqOPBNLWSHKh2a30DoXe8/edit?usp=sharing"",""นราธิวาส!J87"")"),0)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IFERROR(__xludf.DUMMYFUNCTION("IMPORTRANGE(""https://docs.google.com/spreadsheets/d/1IYY_tgx_IHuhSq3AJ5eI5OnqOPBNLWSHKh2a30DoXe8/edit?usp=sharing"",""นราธิวาส!J88"")"),0)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IFERROR(__xludf.DUMMYFUNCTION("IMPORTRANGE(""https://docs.google.com/spreadsheets/d/1IYY_tgx_IHuhSq3AJ5eI5OnqOPBNLWSHKh2a30DoXe8/edit?usp=sharing"",""นราธิวาส!I89"")"),2)</f>
        <v>2</v>
      </c>
      <c r="J164" s="290">
        <f ca="1">IFERROR(__xludf.DUMMYFUNCTION("IMPORTRANGE(""https://docs.google.com/spreadsheets/d/1IYY_tgx_IHuhSq3AJ5eI5OnqOPBNLWSHKh2a30DoXe8/edit?usp=sharing"",""นราธิวาส!J89"")"),2)</f>
        <v>2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IFERROR(__xludf.DUMMYFUNCTION("IMPORTRANGE(""https://docs.google.com/spreadsheets/d/1IYY_tgx_IHuhSq3AJ5eI5OnqOPBNLWSHKh2a30DoXe8/edit?usp=sharing"",""นราธิวาส!J94"")"),0)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IFERROR(__xludf.DUMMYFUNCTION("IMPORTRANGE(""https://docs.google.com/spreadsheets/d/1IYY_tgx_IHuhSq3AJ5eI5OnqOPBNLWSHKh2a30DoXe8/edit?usp=sharing"",""นราธิวาส!J95"")"),1)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IFERROR(__xludf.DUMMYFUNCTION("IMPORTRANGE(""https://docs.google.com/spreadsheets/d/1IYY_tgx_IHuhSq3AJ5eI5OnqOPBNLWSHKh2a30DoXe8/edit?usp=sharing"",""นราธิวาส!J96"")"),1)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IFERROR(__xludf.DUMMYFUNCTION("IMPORTRANGE(""https://docs.google.com/spreadsheets/d/1IYY_tgx_IHuhSq3AJ5eI5OnqOPBNLWSHKh2a30DoXe8/edit?usp=sharing"",""นราธิวาส!J97"")"),1)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IFERROR(__xludf.DUMMYFUNCTION("IMPORTRANGE(""https://docs.google.com/spreadsheets/d/1IYY_tgx_IHuhSq3AJ5eI5OnqOPBNLWSHKh2a30DoXe8/edit?usp=sharing"",""นราธิวาส!I98"")"),2)</f>
        <v>2</v>
      </c>
      <c r="J173" s="195">
        <f ca="1">IFERROR(__xludf.DUMMYFUNCTION("IMPORTRANGE(""https://docs.google.com/spreadsheets/d/1IYY_tgx_IHuhSq3AJ5eI5OnqOPBNLWSHKh2a30DoXe8/edit?usp=sharing"",""นราธิวาส!J98"")"),2)</f>
        <v>2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IFERROR(__xludf.DUMMYFUNCTION("IMPORTRANGE(""https://docs.google.com/spreadsheets/d/1IYY_tgx_IHuhSq3AJ5eI5OnqOPBNLWSHKh2a30DoXe8/edit?usp=sharing"",""นราธิวาส!J99"")"),0)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IFERROR(__xludf.DUMMYFUNCTION("IMPORTRANGE(""https://docs.google.com/spreadsheets/d/1IYY_tgx_IHuhSq3AJ5eI5OnqOPBNLWSHKh2a30DoXe8/edit?usp=sharing"",""นราธิวาส!J100"")"),0)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IFERROR(__xludf.DUMMYFUNCTION("IMPORTRANGE(""https://docs.google.com/spreadsheets/d/1IYY_tgx_IHuhSq3AJ5eI5OnqOPBNLWSHKh2a30DoXe8/edit?usp=sharing"",""นราธิวาส!I101"")"),0)</f>
        <v>0</v>
      </c>
      <c r="J176" s="290">
        <f ca="1">IFERROR(__xludf.DUMMYFUNCTION("IMPORTRANGE(""https://docs.google.com/spreadsheets/d/1IYY_tgx_IHuhSq3AJ5eI5OnqOPBNLWSHKh2a30DoXe8/edit?usp=sharing"",""นราธิวาส!J101"")"),0)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IFERROR(__xludf.DUMMYFUNCTION("IMPORTRANGE(""https://docs.google.com/spreadsheets/d/1IYY_tgx_IHuhSq3AJ5eI5OnqOPBNLWSHKh2a30DoXe8/edit?usp=sharing"",""นราธิวาส!J106"")"),0)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IFERROR(__xludf.DUMMYFUNCTION("IMPORTRANGE(""https://docs.google.com/spreadsheets/d/1IYY_tgx_IHuhSq3AJ5eI5OnqOPBNLWSHKh2a30DoXe8/edit?usp=sharing"",""นราธิวาส!J107"")"),0)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IFERROR(__xludf.DUMMYFUNCTION("IMPORTRANGE(""https://docs.google.com/spreadsheets/d/1IYY_tgx_IHuhSq3AJ5eI5OnqOPBNLWSHKh2a30DoXe8/edit?usp=sharing"",""นราธิวาส!J108"")"),0)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IFERROR(__xludf.DUMMYFUNCTION("IMPORTRANGE(""https://docs.google.com/spreadsheets/d/1IYY_tgx_IHuhSq3AJ5eI5OnqOPBNLWSHKh2a30DoXe8/edit?usp=sharing"",""นราธิวาส!J109"")"),0)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IFERROR(__xludf.DUMMYFUNCTION("IMPORTRANGE(""https://docs.google.com/spreadsheets/d/1IYY_tgx_IHuhSq3AJ5eI5OnqOPBNLWSHKh2a30DoXe8/edit?usp=sharing"",""นราธิวาส!I110"")"),0)</f>
        <v>0</v>
      </c>
      <c r="J185" s="210">
        <f ca="1">IFERROR(__xludf.DUMMYFUNCTION("IMPORTRANGE(""https://docs.google.com/spreadsheets/d/1IYY_tgx_IHuhSq3AJ5eI5OnqOPBNLWSHKh2a30DoXe8/edit?usp=sharing"",""นราธิวาส!J110"")"),0)</f>
        <v>0</v>
      </c>
      <c r="K185" s="230">
        <f t="shared" ref="K185:K186" ca="1" si="68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IFERROR(__xludf.DUMMYFUNCTION("IMPORTRANGE(""https://docs.google.com/spreadsheets/d/1IYY_tgx_IHuhSq3AJ5eI5OnqOPBNLWSHKh2a30DoXe8/edit?usp=sharing"",""นราธิวาส!I111"")"),0)</f>
        <v>0</v>
      </c>
      <c r="J186" s="210">
        <f ca="1">IFERROR(__xludf.DUMMYFUNCTION("IMPORTRANGE(""https://docs.google.com/spreadsheets/d/1IYY_tgx_IHuhSq3AJ5eI5OnqOPBNLWSHKh2a30DoXe8/edit?usp=sharing"",""นราธิวาส!J111"")"),0)</f>
        <v>0</v>
      </c>
      <c r="K186" s="230">
        <f t="shared" ca="1" si="68"/>
        <v>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IFERROR(__xludf.DUMMYFUNCTION("IMPORTRANGE(""https://docs.google.com/spreadsheets/d/1IYY_tgx_IHuhSq3AJ5eI5OnqOPBNLWSHKh2a30DoXe8/edit?usp=sharing"",""นราธิวาส!J112"")"),0)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IFERROR(__xludf.DUMMYFUNCTION("IMPORTRANGE(""https://docs.google.com/spreadsheets/d/1IYY_tgx_IHuhSq3AJ5eI5OnqOPBNLWSHKh2a30DoXe8/edit?usp=sharing"",""นราธิวาส!J113"")"),0)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IFERROR(__xludf.DUMMYFUNCTION("IMPORTRANGE(""https://docs.google.com/spreadsheets/d/1IYY_tgx_IHuhSq3AJ5eI5OnqOPBNLWSHKh2a30DoXe8/edit?usp=sharing"",""นราธิวาส!I114"")"),10000)</f>
        <v>10000</v>
      </c>
      <c r="J189" s="290">
        <f ca="1">IFERROR(__xludf.DUMMYFUNCTION("IMPORTRANGE(""https://docs.google.com/spreadsheets/d/1IYY_tgx_IHuhSq3AJ5eI5OnqOPBNLWSHKh2a30DoXe8/edit?usp=sharing"",""นราธิวาส!J114"")"),10000)</f>
        <v>10000</v>
      </c>
      <c r="K189" s="291">
        <f ca="1">IF(I189&gt;0,J189*100/I189,0)</f>
        <v>100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IFERROR(__xludf.DUMMYFUNCTION("IMPORTRANGE(""https://docs.google.com/spreadsheets/d/1IYY_tgx_IHuhSq3AJ5eI5OnqOPBNLWSHKh2a30DoXe8/edit?usp=sharing"",""นราธิวาส!J119"")"),0)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IFERROR(__xludf.DUMMYFUNCTION("IMPORTRANGE(""https://docs.google.com/spreadsheets/d/1IYY_tgx_IHuhSq3AJ5eI5OnqOPBNLWSHKh2a30DoXe8/edit?usp=sharing"",""นราธิวาส!J120"")"),1)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IFERROR(__xludf.DUMMYFUNCTION("IMPORTRANGE(""https://docs.google.com/spreadsheets/d/1IYY_tgx_IHuhSq3AJ5eI5OnqOPBNLWSHKh2a30DoXe8/edit?usp=sharing"",""นราธิวาส!J121"")"),1)</f>
        <v>1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IFERROR(__xludf.DUMMYFUNCTION("IMPORTRANGE(""https://docs.google.com/spreadsheets/d/1IYY_tgx_IHuhSq3AJ5eI5OnqOPBNLWSHKh2a30DoXe8/edit?usp=sharing"",""นราธิวาส!J122"")"),1)</f>
        <v>1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IFERROR(__xludf.DUMMYFUNCTION("IMPORTRANGE(""https://docs.google.com/spreadsheets/d/1IYY_tgx_IHuhSq3AJ5eI5OnqOPBNLWSHKh2a30DoXe8/edit?usp=sharing"",""นราธิวาส!I124"")"),10000)</f>
        <v>10000</v>
      </c>
      <c r="J199" s="195">
        <f ca="1">IFERROR(__xludf.DUMMYFUNCTION("IMPORTRANGE(""https://docs.google.com/spreadsheets/d/1IYY_tgx_IHuhSq3AJ5eI5OnqOPBNLWSHKh2a30DoXe8/edit?usp=sharing"",""นราธิวาส!J124"")"),10000)</f>
        <v>10000</v>
      </c>
      <c r="K199" s="167">
        <f t="shared" ref="K199:K201" ca="1" si="69">IF(I199&gt;0,J199*100/I199,0)</f>
        <v>100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IFERROR(__xludf.DUMMYFUNCTION("IMPORTRANGE(""https://docs.google.com/spreadsheets/d/1IYY_tgx_IHuhSq3AJ5eI5OnqOPBNLWSHKh2a30DoXe8/edit?usp=sharing"",""นราธิวาส!I125"")"),10000)</f>
        <v>10000</v>
      </c>
      <c r="J200" s="195">
        <f ca="1">IFERROR(__xludf.DUMMYFUNCTION("IMPORTRANGE(""https://docs.google.com/spreadsheets/d/1IYY_tgx_IHuhSq3AJ5eI5OnqOPBNLWSHKh2a30DoXe8/edit?usp=sharing"",""นราธิวาส!J125"")"),10000)</f>
        <v>10000</v>
      </c>
      <c r="K200" s="167">
        <f t="shared" ca="1" si="69"/>
        <v>100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IFERROR(__xludf.DUMMYFUNCTION("IMPORTRANGE(""https://docs.google.com/spreadsheets/d/1IYY_tgx_IHuhSq3AJ5eI5OnqOPBNLWSHKh2a30DoXe8/edit?usp=sharing"",""นราธิวาส!I126"")"),0)</f>
        <v>0</v>
      </c>
      <c r="J201" s="195">
        <f ca="1">IFERROR(__xludf.DUMMYFUNCTION("IMPORTRANGE(""https://docs.google.com/spreadsheets/d/1IYY_tgx_IHuhSq3AJ5eI5OnqOPBNLWSHKh2a30DoXe8/edit?usp=sharing"",""นราธิวาส!J126"")"),0)</f>
        <v>0</v>
      </c>
      <c r="K201" s="167">
        <f t="shared" ca="1" si="69"/>
        <v>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IFERROR(__xludf.DUMMYFUNCTION("IMPORTRANGE(""https://docs.google.com/spreadsheets/d/1IYY_tgx_IHuhSq3AJ5eI5OnqOPBNLWSHKh2a30DoXe8/edit?usp=sharing"",""นราธิวาส!J127"")"),0)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IFERROR(__xludf.DUMMYFUNCTION("IMPORTRANGE(""https://docs.google.com/spreadsheets/d/1IYY_tgx_IHuhSq3AJ5eI5OnqOPBNLWSHKh2a30DoXe8/edit?usp=sharing"",""นราธิวาส!J128"")"),0)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IFERROR(__xludf.DUMMYFUNCTION("IMPORTRANGE(""https://docs.google.com/spreadsheets/d/1IYY_tgx_IHuhSq3AJ5eI5OnqOPBNLWSHKh2a30DoXe8/edit?usp=sharing"",""นราธิวาส!I129"")"),0)</f>
        <v>0</v>
      </c>
      <c r="J204" s="290">
        <f ca="1">IFERROR(__xludf.DUMMYFUNCTION("IMPORTRANGE(""https://docs.google.com/spreadsheets/d/1IYY_tgx_IHuhSq3AJ5eI5OnqOPBNLWSHKh2a30DoXe8/edit?usp=sharing"",""นราธิวาส!J129"")"),0)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IFERROR(__xludf.DUMMYFUNCTION("IMPORTRANGE(""https://docs.google.com/spreadsheets/d/1IYY_tgx_IHuhSq3AJ5eI5OnqOPBNLWSHKh2a30DoXe8/edit?usp=sharing"",""นราธิวาส!J134"")"),0)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IFERROR(__xludf.DUMMYFUNCTION("IMPORTRANGE(""https://docs.google.com/spreadsheets/d/1IYY_tgx_IHuhSq3AJ5eI5OnqOPBNLWSHKh2a30DoXe8/edit?usp=sharing"",""นราธิวาส!J135"")"),0)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IFERROR(__xludf.DUMMYFUNCTION("IMPORTRANGE(""https://docs.google.com/spreadsheets/d/1IYY_tgx_IHuhSq3AJ5eI5OnqOPBNLWSHKh2a30DoXe8/edit?usp=sharing"",""นราธิวาส!J136"")"),0)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IFERROR(__xludf.DUMMYFUNCTION("IMPORTRANGE(""https://docs.google.com/spreadsheets/d/1IYY_tgx_IHuhSq3AJ5eI5OnqOPBNLWSHKh2a30DoXe8/edit?usp=sharing"",""นราธิวาส!J137"")"),0)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IFERROR(__xludf.DUMMYFUNCTION("IMPORTRANGE(""https://docs.google.com/spreadsheets/d/1IYY_tgx_IHuhSq3AJ5eI5OnqOPBNLWSHKh2a30DoXe8/edit?usp=sharing"",""นราธิวาส!I138"")"),0)</f>
        <v>0</v>
      </c>
      <c r="J213" s="210">
        <f ca="1">IFERROR(__xludf.DUMMYFUNCTION("IMPORTRANGE(""https://docs.google.com/spreadsheets/d/1IYY_tgx_IHuhSq3AJ5eI5OnqOPBNLWSHKh2a30DoXe8/edit?usp=sharing"",""นราธิวาส!J138"")"),0)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IFERROR(__xludf.DUMMYFUNCTION("IMPORTRANGE(""https://docs.google.com/spreadsheets/d/1IYY_tgx_IHuhSq3AJ5eI5OnqOPBNLWSHKh2a30DoXe8/edit?usp=sharing"",""นราธิวาส!I140"")"),0)</f>
        <v>0</v>
      </c>
      <c r="J215" s="210">
        <f ca="1">IFERROR(__xludf.DUMMYFUNCTION("IMPORTRANGE(""https://docs.google.com/spreadsheets/d/1IYY_tgx_IHuhSq3AJ5eI5OnqOPBNLWSHKh2a30DoXe8/edit?usp=sharing"",""นราธิวาส!J140"")"),0)</f>
        <v>0</v>
      </c>
      <c r="K215" s="230">
        <f t="shared" ref="K215:K216" ca="1" si="70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IFERROR(__xludf.DUMMYFUNCTION("IMPORTRANGE(""https://docs.google.com/spreadsheets/d/1IYY_tgx_IHuhSq3AJ5eI5OnqOPBNLWSHKh2a30DoXe8/edit?usp=sharing"",""นราธิวาส!I141"")"),0)</f>
        <v>0</v>
      </c>
      <c r="J216" s="210">
        <f ca="1">IFERROR(__xludf.DUMMYFUNCTION("IMPORTRANGE(""https://docs.google.com/spreadsheets/d/1IYY_tgx_IHuhSq3AJ5eI5OnqOPBNLWSHKh2a30DoXe8/edit?usp=sharing"",""นราธิวาส!J141"")"),0)</f>
        <v>0</v>
      </c>
      <c r="K216" s="230">
        <f t="shared" ca="1" si="70"/>
        <v>0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IFERROR(__xludf.DUMMYFUNCTION("IMPORTRANGE(""https://docs.google.com/spreadsheets/d/1IYY_tgx_IHuhSq3AJ5eI5OnqOPBNLWSHKh2a30DoXe8/edit?usp=sharing"",""นราธิวาส!J142"")"),0)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IFERROR(__xludf.DUMMYFUNCTION("IMPORTRANGE(""https://docs.google.com/spreadsheets/d/1IYY_tgx_IHuhSq3AJ5eI5OnqOPBNLWSHKh2a30DoXe8/edit?usp=sharing"",""นราธิวาส!J143"")"),0)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IFERROR(__xludf.DUMMYFUNCTION("IMPORTRANGE(""https://docs.google.com/spreadsheets/d/1IYY_tgx_IHuhSq3AJ5eI5OnqOPBNLWSHKh2a30DoXe8/edit?usp=sharing"",""นราธิวาส!I144"")"),15)</f>
        <v>15</v>
      </c>
      <c r="J219" s="273">
        <f ca="1">IFERROR(__xludf.DUMMYFUNCTION("IMPORTRANGE(""https://docs.google.com/spreadsheets/d/1IYY_tgx_IHuhSq3AJ5eI5OnqOPBNLWSHKh2a30DoXe8/edit?usp=sharing"",""นราธิวาส!J144"")"),15)</f>
        <v>15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2" t="s">
        <v>17</v>
      </c>
      <c r="E220" s="573"/>
      <c r="F220" s="573"/>
      <c r="G220" s="573"/>
      <c r="H220" s="153" t="s">
        <v>12</v>
      </c>
      <c r="I220" s="166"/>
      <c r="J220" s="166"/>
      <c r="K220" s="167"/>
      <c r="L220" s="156">
        <f t="shared" ref="L220:N220" ca="1" si="71">L221+L222</f>
        <v>335425</v>
      </c>
      <c r="M220" s="156">
        <f t="shared" ca="1" si="71"/>
        <v>374845</v>
      </c>
      <c r="N220" s="156">
        <f t="shared" ca="1" si="71"/>
        <v>219865</v>
      </c>
      <c r="O220" s="155">
        <f t="shared" ref="O220:O222" ca="1" si="72">IF(L220&gt;0,N220*100/L220,0)</f>
        <v>65.548185138257438</v>
      </c>
      <c r="P220" s="155">
        <f t="shared" ref="P220:P222" ca="1" si="73">IF(M220&gt;0,N220*100/M220,0)</f>
        <v>58.65491069642119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4">L223+L227</f>
        <v>0</v>
      </c>
      <c r="M221" s="161">
        <f t="shared" si="74"/>
        <v>0</v>
      </c>
      <c r="N221" s="161">
        <f t="shared" si="74"/>
        <v>0</v>
      </c>
      <c r="O221" s="160">
        <f t="shared" si="72"/>
        <v>0</v>
      </c>
      <c r="P221" s="160">
        <f t="shared" si="73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5">L224+L228</f>
        <v>335425</v>
      </c>
      <c r="M222" s="161">
        <f t="shared" ca="1" si="75"/>
        <v>374845</v>
      </c>
      <c r="N222" s="161">
        <f t="shared" ca="1" si="75"/>
        <v>219865</v>
      </c>
      <c r="O222" s="160">
        <f t="shared" ca="1" si="72"/>
        <v>65.548185138257438</v>
      </c>
      <c r="P222" s="160">
        <f t="shared" ca="1" si="73"/>
        <v>58.65491069642119</v>
      </c>
    </row>
    <row r="223" spans="1:16" ht="21.75" customHeight="1" x14ac:dyDescent="0.3">
      <c r="A223" s="162"/>
      <c r="B223" s="163"/>
      <c r="C223" s="163" t="s">
        <v>16</v>
      </c>
      <c r="D223" s="574" t="s">
        <v>20</v>
      </c>
      <c r="E223" s="575"/>
      <c r="F223" s="575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335425</v>
      </c>
      <c r="M224" s="173">
        <f ca="1">IFERROR(__xludf.DUMMYFUNCTION("IMPORTRANGE(""https://docs.google.com/spreadsheets/d/1Yj_ptqi66GCucihVvJfMjLAmec39IyEx_6qawtMGysU/edit?usp=sharing"",""สบก!BS85"")"),374845)</f>
        <v>374845</v>
      </c>
      <c r="N224" s="174">
        <f ca="1">IFERROR(__xludf.DUMMYFUNCTION("IMPORTRANGE(""https://docs.google.com/spreadsheets/d/1Yj_ptqi66GCucihVvJfMjLAmec39IyEx_6qawtMGysU/edit?usp=sharing"",""สบก!BT85"")"),219865)</f>
        <v>219865</v>
      </c>
      <c r="O224" s="175">
        <f ca="1">IF(L224&gt;0,N224*100/L224,0)</f>
        <v>65.548185138257438</v>
      </c>
      <c r="P224" s="175">
        <f ca="1">IF(M224&gt;0,N224*100/M224,0)</f>
        <v>58.65491069642119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IFERROR(__xludf.DUMMYFUNCTION("IMPORTRANGE(""https://docs.google.com/spreadsheets/d/1Yj_ptqi66GCucihVvJfMjLAmec39IyEx_6qawtMGysU/edit?usp=sharing"",""สบก!BO85"")"),0)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IFERROR(__xludf.DUMMYFUNCTION("IMPORTRANGE(""https://docs.google.com/spreadsheets/d/1Yj_ptqi66GCucihVvJfMjLAmec39IyEx_6qawtMGysU/edit?usp=sharing"",""สบก!BP85"")"),335425)</f>
        <v>335425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6" t="s">
        <v>23</v>
      </c>
      <c r="E227" s="575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IFERROR(__xludf.DUMMYFUNCTION("IMPORTRANGE(""https://docs.google.com/spreadsheets/d/1Yj_ptqi66GCucihVvJfMjLAmec39IyEx_6qawtMGysU/edit?usp=sharing"",""สบก!BQ85"")"),0)</f>
        <v>0</v>
      </c>
      <c r="M228" s="101"/>
      <c r="N228" s="91">
        <f ca="1">IFERROR(__xludf.DUMMYFUNCTION("IMPORTRANGE(""https://docs.google.com/spreadsheets/d/1Yj_ptqi66GCucihVvJfMjLAmec39IyEx_6qawtMGysU/edit?usp=sharing"",""สบก!BU85"")"),0)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IFERROR(__xludf.DUMMYFUNCTION("IMPORTRANGE(""https://docs.google.com/spreadsheets/d/1IYY_tgx_IHuhSq3AJ5eI5OnqOPBNLWSHKh2a30DoXe8/edit?usp=sharing"",""นราธิวาส!I149"")"),15)</f>
        <v>15</v>
      </c>
      <c r="J229" s="273">
        <f ca="1">IFERROR(__xludf.DUMMYFUNCTION("IMPORTRANGE(""https://docs.google.com/spreadsheets/d/1IYY_tgx_IHuhSq3AJ5eI5OnqOPBNLWSHKh2a30DoXe8/edit?usp=sharing"",""นราธิวาส!J149"")"),15)</f>
        <v>15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IFERROR(__xludf.DUMMYFUNCTION("IMPORTRANGE(""https://docs.google.com/spreadsheets/d/1IYY_tgx_IHuhSq3AJ5eI5OnqOPBNLWSHKh2a30DoXe8/edit?usp=sharing"",""นราธิวาส!J151"")"),0)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IFERROR(__xludf.DUMMYFUNCTION("IMPORTRANGE(""https://docs.google.com/spreadsheets/d/1IYY_tgx_IHuhSq3AJ5eI5OnqOPBNLWSHKh2a30DoXe8/edit?usp=sharing"",""นราธิวาส!J152"")"),1)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IFERROR(__xludf.DUMMYFUNCTION("IMPORTRANGE(""https://docs.google.com/spreadsheets/d/1IYY_tgx_IHuhSq3AJ5eI5OnqOPBNLWSHKh2a30DoXe8/edit?usp=sharing"",""นราธิวาส!J153"")"),1)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IFERROR(__xludf.DUMMYFUNCTION("IMPORTRANGE(""https://docs.google.com/spreadsheets/d/1IYY_tgx_IHuhSq3AJ5eI5OnqOPBNLWSHKh2a30DoXe8/edit?usp=sharing"",""นราธิวาส!J154"")"),1)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IFERROR(__xludf.DUMMYFUNCTION("IMPORTRANGE(""https://docs.google.com/spreadsheets/d/1IYY_tgx_IHuhSq3AJ5eI5OnqOPBNLWSHKh2a30DoXe8/edit?usp=sharing"",""นราธิวาส!I155"")"),15)</f>
        <v>15</v>
      </c>
      <c r="J235" s="195">
        <f ca="1">IFERROR(__xludf.DUMMYFUNCTION("IMPORTRANGE(""https://docs.google.com/spreadsheets/d/1IYY_tgx_IHuhSq3AJ5eI5OnqOPBNLWSHKh2a30DoXe8/edit?usp=sharing"",""นราธิวาส!J155"")"),15)</f>
        <v>15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IFERROR(__xludf.DUMMYFUNCTION("IMPORTRANGE(""https://docs.google.com/spreadsheets/d/1IYY_tgx_IHuhSq3AJ5eI5OnqOPBNLWSHKh2a30DoXe8/edit?usp=sharing"",""นราธิวาส!J156"")"),0)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IFERROR(__xludf.DUMMYFUNCTION("IMPORTRANGE(""https://docs.google.com/spreadsheets/d/1IYY_tgx_IHuhSq3AJ5eI5OnqOPBNLWSHKh2a30DoXe8/edit?usp=sharing"",""นราธิวาส!J157"")"),0)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IFERROR(__xludf.DUMMYFUNCTION("IMPORTRANGE(""https://docs.google.com/spreadsheets/d/1IYY_tgx_IHuhSq3AJ5eI5OnqOPBNLWSHKh2a30DoXe8/edit?usp=sharing"",""นราธิวาส!I158"")"),0)</f>
        <v>0</v>
      </c>
      <c r="J238" s="273">
        <f ca="1">IFERROR(__xludf.DUMMYFUNCTION("IMPORTRANGE(""https://docs.google.com/spreadsheets/d/1IYY_tgx_IHuhSq3AJ5eI5OnqOPBNLWSHKh2a30DoXe8/edit?usp=sharing"",""นราธิวาส!J158"")"),0)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IFERROR(__xludf.DUMMYFUNCTION("IMPORTRANGE(""https://docs.google.com/spreadsheets/d/1IYY_tgx_IHuhSq3AJ5eI5OnqOPBNLWSHKh2a30DoXe8/edit?usp=sharing"",""นราธิวาส!J159"")"),"")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IFERROR(__xludf.DUMMYFUNCTION("IMPORTRANGE(""https://docs.google.com/spreadsheets/d/1IYY_tgx_IHuhSq3AJ5eI5OnqOPBNLWSHKh2a30DoXe8/edit?usp=sharing"",""นราธิวาส!J161"")"),0)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IFERROR(__xludf.DUMMYFUNCTION("IMPORTRANGE(""https://docs.google.com/spreadsheets/d/1IYY_tgx_IHuhSq3AJ5eI5OnqOPBNLWSHKh2a30DoXe8/edit?usp=sharing"",""นราธิวาส!J162"")"),0)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IFERROR(__xludf.DUMMYFUNCTION("IMPORTRANGE(""https://docs.google.com/spreadsheets/d/1IYY_tgx_IHuhSq3AJ5eI5OnqOPBNLWSHKh2a30DoXe8/edit?usp=sharing"",""นราธิวาส!J163"")"),0)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IFERROR(__xludf.DUMMYFUNCTION("IMPORTRANGE(""https://docs.google.com/spreadsheets/d/1IYY_tgx_IHuhSq3AJ5eI5OnqOPBNLWSHKh2a30DoXe8/edit?usp=sharing"",""นราธิวาส!I164"")"),0)</f>
        <v>0</v>
      </c>
      <c r="J244" s="194">
        <f ca="1">IFERROR(__xludf.DUMMYFUNCTION("IMPORTRANGE(""https://docs.google.com/spreadsheets/d/1IYY_tgx_IHuhSq3AJ5eI5OnqOPBNLWSHKh2a30DoXe8/edit?usp=sharing"",""นราธิวาส!J164"")"),0)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IFERROR(__xludf.DUMMYFUNCTION("IMPORTRANGE(""https://docs.google.com/spreadsheets/d/1IYY_tgx_IHuhSq3AJ5eI5OnqOPBNLWSHKh2a30DoXe8/edit?usp=sharing"",""นราธิวาส!J165"")"),0)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IFERROR(__xludf.DUMMYFUNCTION("IMPORTRANGE(""https://docs.google.com/spreadsheets/d/1IYY_tgx_IHuhSq3AJ5eI5OnqOPBNLWSHKh2a30DoXe8/edit?usp=sharing"",""นราธิวาส!J166"")"),0)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IFERROR(__xludf.DUMMYFUNCTION("IMPORTRANGE(""https://docs.google.com/spreadsheets/d/1IYY_tgx_IHuhSq3AJ5eI5OnqOPBNLWSHKh2a30DoXe8/edit?usp=sharing"",""นราธิวาส!I169"")"),0)</f>
        <v>0</v>
      </c>
      <c r="J249" s="322">
        <f ca="1">IFERROR(__xludf.DUMMYFUNCTION("IMPORTRANGE(""https://docs.google.com/spreadsheets/d/1IYY_tgx_IHuhSq3AJ5eI5OnqOPBNLWSHKh2a30DoXe8/edit?usp=sharing"",""นราธิวาส!J169"")"),0)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2" t="s">
        <v>17</v>
      </c>
      <c r="E250" s="573"/>
      <c r="F250" s="573"/>
      <c r="G250" s="573"/>
      <c r="H250" s="153" t="s">
        <v>12</v>
      </c>
      <c r="I250" s="166"/>
      <c r="J250" s="166"/>
      <c r="K250" s="167"/>
      <c r="L250" s="156">
        <f t="shared" ref="L250:N250" ca="1" si="76">L251+L252</f>
        <v>0</v>
      </c>
      <c r="M250" s="156">
        <f t="shared" ca="1" si="76"/>
        <v>0</v>
      </c>
      <c r="N250" s="156">
        <f t="shared" ca="1" si="76"/>
        <v>0</v>
      </c>
      <c r="O250" s="155">
        <f t="shared" ref="O250:O252" ca="1" si="77">IF(L250&gt;0,N250*100/L250,0)</f>
        <v>0</v>
      </c>
      <c r="P250" s="155">
        <f t="shared" ref="P250:P252" ca="1" si="78">IF(M250&gt;0,N250*100/M250,0)</f>
        <v>0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79">L253+L257</f>
        <v>0</v>
      </c>
      <c r="M251" s="161">
        <f t="shared" si="79"/>
        <v>0</v>
      </c>
      <c r="N251" s="161">
        <f t="shared" si="79"/>
        <v>0</v>
      </c>
      <c r="O251" s="160">
        <f t="shared" si="77"/>
        <v>0</v>
      </c>
      <c r="P251" s="160">
        <f t="shared" si="78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0">L254+L258</f>
        <v>0</v>
      </c>
      <c r="M252" s="161">
        <f t="shared" ca="1" si="80"/>
        <v>0</v>
      </c>
      <c r="N252" s="161">
        <f t="shared" ca="1" si="80"/>
        <v>0</v>
      </c>
      <c r="O252" s="160">
        <f t="shared" ca="1" si="77"/>
        <v>0</v>
      </c>
      <c r="P252" s="160">
        <f t="shared" ca="1" si="78"/>
        <v>0</v>
      </c>
    </row>
    <row r="253" spans="1:16" ht="21.75" customHeight="1" x14ac:dyDescent="0.3">
      <c r="A253" s="162"/>
      <c r="B253" s="163"/>
      <c r="C253" s="163" t="s">
        <v>16</v>
      </c>
      <c r="D253" s="574" t="s">
        <v>20</v>
      </c>
      <c r="E253" s="575"/>
      <c r="F253" s="575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IFERROR(__xludf.DUMMYFUNCTION("IMPORTRANGE(""https://docs.google.com/spreadsheets/d/1Yj_ptqi66GCucihVvJfMjLAmec39IyEx_6qawtMGysU/edit?usp=sharing"",""สบก!CB85"")"),0)</f>
        <v>0</v>
      </c>
      <c r="N254" s="174">
        <f ca="1">IFERROR(__xludf.DUMMYFUNCTION("IMPORTRANGE(""https://docs.google.com/spreadsheets/d/1Yj_ptqi66GCucihVvJfMjLAmec39IyEx_6qawtMGysU/edit?usp=sharing"",""สบก!CC85"")"),0)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IFERROR(__xludf.DUMMYFUNCTION("IMPORTRANGE(""https://docs.google.com/spreadsheets/d/1Yj_ptqi66GCucihVvJfMjLAmec39IyEx_6qawtMGysU/edit?usp=sharing"",""สบก!BX85"")"),0)</f>
        <v>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IFERROR(__xludf.DUMMYFUNCTION("IMPORTRANGE(""https://docs.google.com/spreadsheets/d/1Yj_ptqi66GCucihVvJfMjLAmec39IyEx_6qawtMGysU/edit?usp=sharing"",""สบก!BY85"")"),0)</f>
        <v>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6" t="s">
        <v>23</v>
      </c>
      <c r="E257" s="575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IFERROR(__xludf.DUMMYFUNCTION("IMPORTRANGE(""https://docs.google.com/spreadsheets/d/1Yj_ptqi66GCucihVvJfMjLAmec39IyEx_6qawtMGysU/edit?usp=sharing"",""สบก!BZ85"")"),0)</f>
        <v>0</v>
      </c>
      <c r="M258" s="101"/>
      <c r="N258" s="91">
        <f ca="1">IFERROR(__xludf.DUMMYFUNCTION("IMPORTRANGE(""https://docs.google.com/spreadsheets/d/1Yj_ptqi66GCucihVvJfMjLAmec39IyEx_6qawtMGysU/edit?usp=sharing"",""สบก!CD85"")"),0)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IFERROR(__xludf.DUMMYFUNCTION("IMPORTRANGE(""https://docs.google.com/spreadsheets/d/1IYY_tgx_IHuhSq3AJ5eI5OnqOPBNLWSHKh2a30DoXe8/edit?usp=sharing"",""นราธิวาส!J175"")"),0)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IFERROR(__xludf.DUMMYFUNCTION("IMPORTRANGE(""https://docs.google.com/spreadsheets/d/1IYY_tgx_IHuhSq3AJ5eI5OnqOPBNLWSHKh2a30DoXe8/edit?usp=sharing"",""นราธิวาส!J176"")"),0)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IFERROR(__xludf.DUMMYFUNCTION("IMPORTRANGE(""https://docs.google.com/spreadsheets/d/1IYY_tgx_IHuhSq3AJ5eI5OnqOPBNLWSHKh2a30DoXe8/edit?usp=sharing"",""นราธิวาส!J177"")"),0)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IFERROR(__xludf.DUMMYFUNCTION("IMPORTRANGE(""https://docs.google.com/spreadsheets/d/1IYY_tgx_IHuhSq3AJ5eI5OnqOPBNLWSHKh2a30DoXe8/edit?usp=sharing"",""นราธิวาส!J178"")"),0)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IFERROR(__xludf.DUMMYFUNCTION("IMPORTRANGE(""https://docs.google.com/spreadsheets/d/1IYY_tgx_IHuhSq3AJ5eI5OnqOPBNLWSHKh2a30DoXe8/edit?usp=sharing"",""นราธิวาส!I179"")"),0)</f>
        <v>0</v>
      </c>
      <c r="J264" s="195">
        <f ca="1">IFERROR(__xludf.DUMMYFUNCTION("IMPORTRANGE(""https://docs.google.com/spreadsheets/d/1IYY_tgx_IHuhSq3AJ5eI5OnqOPBNLWSHKh2a30DoXe8/edit?usp=sharing"",""นราธิวาส!J179"")"),0)</f>
        <v>0</v>
      </c>
      <c r="K264" s="167">
        <f t="shared" ref="K264:K267" ca="1" si="81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IFERROR(__xludf.DUMMYFUNCTION("IMPORTRANGE(""https://docs.google.com/spreadsheets/d/1IYY_tgx_IHuhSq3AJ5eI5OnqOPBNLWSHKh2a30DoXe8/edit?usp=sharing"",""นราธิวาส!I180"")"),0)</f>
        <v>0</v>
      </c>
      <c r="J265" s="195">
        <f ca="1">IFERROR(__xludf.DUMMYFUNCTION("IMPORTRANGE(""https://docs.google.com/spreadsheets/d/1IYY_tgx_IHuhSq3AJ5eI5OnqOPBNLWSHKh2a30DoXe8/edit?usp=sharing"",""นราธิวาส!J180"")"),0)</f>
        <v>0</v>
      </c>
      <c r="K265" s="167">
        <f t="shared" ca="1" si="81"/>
        <v>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IFERROR(__xludf.DUMMYFUNCTION("IMPORTRANGE(""https://docs.google.com/spreadsheets/d/1IYY_tgx_IHuhSq3AJ5eI5OnqOPBNLWSHKh2a30DoXe8/edit?usp=sharing"",""นราธิวาส!I181"")"),0)</f>
        <v>0</v>
      </c>
      <c r="J266" s="195">
        <f ca="1">IFERROR(__xludf.DUMMYFUNCTION("IMPORTRANGE(""https://docs.google.com/spreadsheets/d/1IYY_tgx_IHuhSq3AJ5eI5OnqOPBNLWSHKh2a30DoXe8/edit?usp=sharing"",""นราธิวาส!J181"")"),0)</f>
        <v>0</v>
      </c>
      <c r="K266" s="167">
        <f t="shared" ca="1" si="81"/>
        <v>0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IFERROR(__xludf.DUMMYFUNCTION("IMPORTRANGE(""https://docs.google.com/spreadsheets/d/1IYY_tgx_IHuhSq3AJ5eI5OnqOPBNLWSHKh2a30DoXe8/edit?usp=sharing"",""นราธิวาส!I182"")"),0)</f>
        <v>0</v>
      </c>
      <c r="J267" s="195">
        <f ca="1">IFERROR(__xludf.DUMMYFUNCTION("IMPORTRANGE(""https://docs.google.com/spreadsheets/d/1IYY_tgx_IHuhSq3AJ5eI5OnqOPBNLWSHKh2a30DoXe8/edit?usp=sharing"",""นราธิวาส!J182"")"),0)</f>
        <v>0</v>
      </c>
      <c r="K267" s="167">
        <f t="shared" ca="1" si="81"/>
        <v>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IFERROR(__xludf.DUMMYFUNCTION("IMPORTRANGE(""https://docs.google.com/spreadsheets/d/1IYY_tgx_IHuhSq3AJ5eI5OnqOPBNLWSHKh2a30DoXe8/edit?usp=sharing"",""นราธิวาส!J183"")"),0)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IFERROR(__xludf.DUMMYFUNCTION("IMPORTRANGE(""https://docs.google.com/spreadsheets/d/1IYY_tgx_IHuhSq3AJ5eI5OnqOPBNLWSHKh2a30DoXe8/edit?usp=sharing"",""นราธิวาส!J184"")"),0)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IFERROR(__xludf.DUMMYFUNCTION("IMPORTRANGE(""https://docs.google.com/spreadsheets/d/1IYY_tgx_IHuhSq3AJ5eI5OnqOPBNLWSHKh2a30DoXe8/edit?usp=sharing"",""นราธิวาส!I185"")"),0)</f>
        <v>0</v>
      </c>
      <c r="J270" s="322">
        <f ca="1">IFERROR(__xludf.DUMMYFUNCTION("IMPORTRANGE(""https://docs.google.com/spreadsheets/d/1IYY_tgx_IHuhSq3AJ5eI5OnqOPBNLWSHKh2a30DoXe8/edit?usp=sharing"",""นราธิวาส!J185"")"),0)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2" t="s">
        <v>17</v>
      </c>
      <c r="E271" s="573"/>
      <c r="F271" s="573"/>
      <c r="G271" s="573"/>
      <c r="H271" s="153" t="s">
        <v>12</v>
      </c>
      <c r="I271" s="166"/>
      <c r="J271" s="166"/>
      <c r="K271" s="167"/>
      <c r="L271" s="156">
        <f t="shared" ref="L271:N271" ca="1" si="82">L272+L273</f>
        <v>0</v>
      </c>
      <c r="M271" s="156">
        <f t="shared" ca="1" si="82"/>
        <v>0</v>
      </c>
      <c r="N271" s="156">
        <f t="shared" ca="1" si="82"/>
        <v>0</v>
      </c>
      <c r="O271" s="155">
        <f t="shared" ref="O271:O273" ca="1" si="83">IF(L271&gt;0,N271*100/L271,0)</f>
        <v>0</v>
      </c>
      <c r="P271" s="155">
        <f t="shared" ref="P271:P273" ca="1" si="84">IF(M271&gt;0,N271*100/M271,0)</f>
        <v>0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5">L274+L278</f>
        <v>0</v>
      </c>
      <c r="M272" s="161">
        <f t="shared" si="85"/>
        <v>0</v>
      </c>
      <c r="N272" s="161">
        <f t="shared" si="85"/>
        <v>0</v>
      </c>
      <c r="O272" s="160">
        <f t="shared" si="83"/>
        <v>0</v>
      </c>
      <c r="P272" s="160">
        <f t="shared" si="84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6">L275+L279</f>
        <v>0</v>
      </c>
      <c r="M273" s="161">
        <f t="shared" ca="1" si="86"/>
        <v>0</v>
      </c>
      <c r="N273" s="161">
        <f t="shared" ca="1" si="86"/>
        <v>0</v>
      </c>
      <c r="O273" s="160">
        <f t="shared" ca="1" si="83"/>
        <v>0</v>
      </c>
      <c r="P273" s="160">
        <f t="shared" ca="1" si="84"/>
        <v>0</v>
      </c>
    </row>
    <row r="274" spans="1:16" ht="21.75" customHeight="1" x14ac:dyDescent="0.3">
      <c r="A274" s="162"/>
      <c r="B274" s="163"/>
      <c r="C274" s="163" t="s">
        <v>16</v>
      </c>
      <c r="D274" s="574" t="s">
        <v>20</v>
      </c>
      <c r="E274" s="575"/>
      <c r="F274" s="575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0</v>
      </c>
      <c r="M275" s="173">
        <f ca="1">IFERROR(__xludf.DUMMYFUNCTION("IMPORTRANGE(""https://docs.google.com/spreadsheets/d/1Yj_ptqi66GCucihVvJfMjLAmec39IyEx_6qawtMGysU/edit?usp=sharing"",""สบก!CK85"")"),0)</f>
        <v>0</v>
      </c>
      <c r="N275" s="174">
        <f ca="1">IFERROR(__xludf.DUMMYFUNCTION("IMPORTRANGE(""https://docs.google.com/spreadsheets/d/1Yj_ptqi66GCucihVvJfMjLAmec39IyEx_6qawtMGysU/edit?usp=sharing"",""สบก!CL85"")"),0)</f>
        <v>0</v>
      </c>
      <c r="O275" s="175">
        <f ca="1">IF(L275&gt;0,N275*100/L275,0)</f>
        <v>0</v>
      </c>
      <c r="P275" s="175">
        <f ca="1">IF(M275&gt;0,N275*100/M275,0)</f>
        <v>0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IFERROR(__xludf.DUMMYFUNCTION("IMPORTRANGE(""https://docs.google.com/spreadsheets/d/1Yj_ptqi66GCucihVvJfMjLAmec39IyEx_6qawtMGysU/edit?usp=sharing"",""สบก!CG85"")"),0)</f>
        <v>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IFERROR(__xludf.DUMMYFUNCTION("IMPORTRANGE(""https://docs.google.com/spreadsheets/d/1Yj_ptqi66GCucihVvJfMjLAmec39IyEx_6qawtMGysU/edit?usp=sharing"",""สบก!CH85"")"),0)</f>
        <v>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6" t="s">
        <v>23</v>
      </c>
      <c r="E278" s="575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IFERROR(__xludf.DUMMYFUNCTION("IMPORTRANGE(""https://docs.google.com/spreadsheets/d/1Yj_ptqi66GCucihVvJfMjLAmec39IyEx_6qawtMGysU/edit?usp=sharing"",""สบก!CI85"")"),0)</f>
        <v>0</v>
      </c>
      <c r="M279" s="101"/>
      <c r="N279" s="91">
        <f ca="1">IFERROR(__xludf.DUMMYFUNCTION("IMPORTRANGE(""https://docs.google.com/spreadsheets/d/1Yj_ptqi66GCucihVvJfMjLAmec39IyEx_6qawtMGysU/edit?usp=sharing"",""สบก!CM85"")"),0)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IFERROR(__xludf.DUMMYFUNCTION("IMPORTRANGE(""https://docs.google.com/spreadsheets/d/1IYY_tgx_IHuhSq3AJ5eI5OnqOPBNLWSHKh2a30DoXe8/edit?usp=sharing"",""นราธิวาส!J191"")"),0)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IFERROR(__xludf.DUMMYFUNCTION("IMPORTRANGE(""https://docs.google.com/spreadsheets/d/1IYY_tgx_IHuhSq3AJ5eI5OnqOPBNLWSHKh2a30DoXe8/edit?usp=sharing"",""นราธิวาส!J192"")"),0)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IFERROR(__xludf.DUMMYFUNCTION("IMPORTRANGE(""https://docs.google.com/spreadsheets/d/1IYY_tgx_IHuhSq3AJ5eI5OnqOPBNLWSHKh2a30DoXe8/edit?usp=sharing"",""นราธิวาส!J193"")"),0)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IFERROR(__xludf.DUMMYFUNCTION("IMPORTRANGE(""https://docs.google.com/spreadsheets/d/1IYY_tgx_IHuhSq3AJ5eI5OnqOPBNLWSHKh2a30DoXe8/edit?usp=sharing"",""นราธิวาส!J194"")"),0)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IFERROR(__xludf.DUMMYFUNCTION("IMPORTRANGE(""https://docs.google.com/spreadsheets/d/1IYY_tgx_IHuhSq3AJ5eI5OnqOPBNLWSHKh2a30DoXe8/edit?usp=sharing"",""นราธิวาส!I195"")"),0)</f>
        <v>0</v>
      </c>
      <c r="J285" s="195">
        <f ca="1">IFERROR(__xludf.DUMMYFUNCTION("IMPORTRANGE(""https://docs.google.com/spreadsheets/d/1IYY_tgx_IHuhSq3AJ5eI5OnqOPBNLWSHKh2a30DoXe8/edit?usp=sharing"",""นราธิวาส!J195"")"),0)</f>
        <v>0</v>
      </c>
      <c r="K285" s="167">
        <f ca="1">IF(I285&gt;0,J285*100/I285,0)</f>
        <v>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IFERROR(__xludf.DUMMYFUNCTION("IMPORTRANGE(""https://docs.google.com/spreadsheets/d/1IYY_tgx_IHuhSq3AJ5eI5OnqOPBNLWSHKh2a30DoXe8/edit?usp=sharing"",""นราธิวาส!J196"")"),0)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IFERROR(__xludf.DUMMYFUNCTION("IMPORTRANGE(""https://docs.google.com/spreadsheets/d/1IYY_tgx_IHuhSq3AJ5eI5OnqOPBNLWSHKh2a30DoXe8/edit?usp=sharing"",""นราธิวาส!J197"")"),0)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IFERROR(__xludf.DUMMYFUNCTION("IMPORTRANGE(""https://docs.google.com/spreadsheets/d/1IYY_tgx_IHuhSq3AJ5eI5OnqOPBNLWSHKh2a30DoXe8/edit?usp=sharing"",""นราธิวาส!I199"")"),0)</f>
        <v>0</v>
      </c>
      <c r="J289" s="322">
        <f ca="1">IFERROR(__xludf.DUMMYFUNCTION("IMPORTRANGE(""https://docs.google.com/spreadsheets/d/1IYY_tgx_IHuhSq3AJ5eI5OnqOPBNLWSHKh2a30DoXe8/edit?usp=sharing"",""นราธิวาส!J199"")"),0)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2" t="s">
        <v>17</v>
      </c>
      <c r="E290" s="573"/>
      <c r="F290" s="573"/>
      <c r="G290" s="573"/>
      <c r="H290" s="153" t="s">
        <v>12</v>
      </c>
      <c r="I290" s="194"/>
      <c r="J290" s="194"/>
      <c r="K290" s="230"/>
      <c r="L290" s="156">
        <f t="shared" ref="L290:N290" ca="1" si="87">L291+L292</f>
        <v>0</v>
      </c>
      <c r="M290" s="156">
        <f t="shared" ca="1" si="87"/>
        <v>0</v>
      </c>
      <c r="N290" s="156">
        <f t="shared" ca="1" si="87"/>
        <v>0</v>
      </c>
      <c r="O290" s="155">
        <f t="shared" ref="O290:O292" ca="1" si="88">IF(L290&gt;0,N290*100/L290,0)</f>
        <v>0</v>
      </c>
      <c r="P290" s="155">
        <f t="shared" ref="P290:P292" ca="1" si="89">IF(M290&gt;0,N290*100/M290,0)</f>
        <v>0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0">L293+L297</f>
        <v>0</v>
      </c>
      <c r="M291" s="161">
        <f t="shared" si="90"/>
        <v>0</v>
      </c>
      <c r="N291" s="161">
        <f t="shared" si="90"/>
        <v>0</v>
      </c>
      <c r="O291" s="160">
        <f t="shared" si="88"/>
        <v>0</v>
      </c>
      <c r="P291" s="160">
        <f t="shared" si="89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1">L294+L298</f>
        <v>0</v>
      </c>
      <c r="M292" s="161">
        <f t="shared" ca="1" si="91"/>
        <v>0</v>
      </c>
      <c r="N292" s="161">
        <f t="shared" ca="1" si="91"/>
        <v>0</v>
      </c>
      <c r="O292" s="160">
        <f t="shared" ca="1" si="88"/>
        <v>0</v>
      </c>
      <c r="P292" s="160">
        <f t="shared" ca="1" si="89"/>
        <v>0</v>
      </c>
    </row>
    <row r="293" spans="1:16" ht="21.75" customHeight="1" x14ac:dyDescent="0.3">
      <c r="A293" s="162"/>
      <c r="B293" s="163"/>
      <c r="C293" s="163" t="s">
        <v>16</v>
      </c>
      <c r="D293" s="574" t="s">
        <v>20</v>
      </c>
      <c r="E293" s="575"/>
      <c r="F293" s="575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IFERROR(__xludf.DUMMYFUNCTION("IMPORTRANGE(""https://docs.google.com/spreadsheets/d/1Yj_ptqi66GCucihVvJfMjLAmec39IyEx_6qawtMGysU/edit?usp=sharing"",""สบก!CT85"")"),0)</f>
        <v>0</v>
      </c>
      <c r="N294" s="174">
        <f ca="1">IFERROR(__xludf.DUMMYFUNCTION("IMPORTRANGE(""https://docs.google.com/spreadsheets/d/1Yj_ptqi66GCucihVvJfMjLAmec39IyEx_6qawtMGysU/edit?usp=sharing"",""สบก!CU85"")"),0)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IFERROR(__xludf.DUMMYFUNCTION("IMPORTRANGE(""https://docs.google.com/spreadsheets/d/1Yj_ptqi66GCucihVvJfMjLAmec39IyEx_6qawtMGysU/edit?usp=sharing"",""สบก!CP85"")"),0)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IFERROR(__xludf.DUMMYFUNCTION("IMPORTRANGE(""https://docs.google.com/spreadsheets/d/1Yj_ptqi66GCucihVvJfMjLAmec39IyEx_6qawtMGysU/edit?usp=sharing"",""สบก!CQ85"")"),0)</f>
        <v>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6" t="s">
        <v>23</v>
      </c>
      <c r="E297" s="575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IFERROR(__xludf.DUMMYFUNCTION("IMPORTRANGE(""https://docs.google.com/spreadsheets/d/1Yj_ptqi66GCucihVvJfMjLAmec39IyEx_6qawtMGysU/edit?usp=sharing"",""สบก!CR85"")"),0)</f>
        <v>0</v>
      </c>
      <c r="M298" s="101"/>
      <c r="N298" s="91">
        <f ca="1">IFERROR(__xludf.DUMMYFUNCTION("IMPORTRANGE(""https://docs.google.com/spreadsheets/d/1Yj_ptqi66GCucihVvJfMjLAmec39IyEx_6qawtMGysU/edit?usp=sharing"",""สบก!CV85"")"),0)</f>
        <v>0</v>
      </c>
      <c r="O298" s="101">
        <f ca="1">IF(L298&gt;0,N298*100/L298,0)</f>
        <v>0</v>
      </c>
      <c r="P298" s="101"/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IFERROR(__xludf.DUMMYFUNCTION("IMPORTRANGE(""https://docs.google.com/spreadsheets/d/1IYY_tgx_IHuhSq3AJ5eI5OnqOPBNLWSHKh2a30DoXe8/edit?usp=sharing"",""นราธิวาส!J205"")"),0)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IFERROR(__xludf.DUMMYFUNCTION("IMPORTRANGE(""https://docs.google.com/spreadsheets/d/1IYY_tgx_IHuhSq3AJ5eI5OnqOPBNLWSHKh2a30DoXe8/edit?usp=sharing"",""นราธิวาส!J206"")"),0)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IFERROR(__xludf.DUMMYFUNCTION("IMPORTRANGE(""https://docs.google.com/spreadsheets/d/1IYY_tgx_IHuhSq3AJ5eI5OnqOPBNLWSHKh2a30DoXe8/edit?usp=sharing"",""นราธิวาส!J207"")"),0)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IFERROR(__xludf.DUMMYFUNCTION("IMPORTRANGE(""https://docs.google.com/spreadsheets/d/1IYY_tgx_IHuhSq3AJ5eI5OnqOPBNLWSHKh2a30DoXe8/edit?usp=sharing"",""นราธิวาส!J208"")"),0)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IFERROR(__xludf.DUMMYFUNCTION("IMPORTRANGE(""https://docs.google.com/spreadsheets/d/1IYY_tgx_IHuhSq3AJ5eI5OnqOPBNLWSHKh2a30DoXe8/edit?usp=sharing"",""นราธิวาส!I209"")"),0)</f>
        <v>0</v>
      </c>
      <c r="J304" s="210">
        <f ca="1">IFERROR(__xludf.DUMMYFUNCTION("IMPORTRANGE(""https://docs.google.com/spreadsheets/d/1IYY_tgx_IHuhSq3AJ5eI5OnqOPBNLWSHKh2a30DoXe8/edit?usp=sharing"",""นราธิวาส!J209"")"),0)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IFERROR(__xludf.DUMMYFUNCTION("IMPORTRANGE(""https://docs.google.com/spreadsheets/d/1IYY_tgx_IHuhSq3AJ5eI5OnqOPBNLWSHKh2a30DoXe8/edit?usp=sharing"",""นราธิวาส!I211"")"),0)</f>
        <v>0</v>
      </c>
      <c r="J306" s="210">
        <f ca="1">IFERROR(__xludf.DUMMYFUNCTION("IMPORTRANGE(""https://docs.google.com/spreadsheets/d/1IYY_tgx_IHuhSq3AJ5eI5OnqOPBNLWSHKh2a30DoXe8/edit?usp=sharing"",""นราธิวาส!J211"")"),0)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IFERROR(__xludf.DUMMYFUNCTION("IMPORTRANGE(""https://docs.google.com/spreadsheets/d/1IYY_tgx_IHuhSq3AJ5eI5OnqOPBNLWSHKh2a30DoXe8/edit?usp=sharing"",""นราธิวาส!J212"")"),0)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IFERROR(__xludf.DUMMYFUNCTION("IMPORTRANGE(""https://docs.google.com/spreadsheets/d/1IYY_tgx_IHuhSq3AJ5eI5OnqOPBNLWSHKh2a30DoXe8/edit?usp=sharing"",""นราธิวาส!J213"")"),0)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IFERROR(__xludf.DUMMYFUNCTION("IMPORTRANGE(""https://docs.google.com/spreadsheets/d/1IYY_tgx_IHuhSq3AJ5eI5OnqOPBNLWSHKh2a30DoXe8/edit?usp=sharing"",""นราธิวาส!I214"")"),0)</f>
        <v>0</v>
      </c>
      <c r="J309" s="339">
        <f ca="1">IFERROR(__xludf.DUMMYFUNCTION("IMPORTRANGE(""https://docs.google.com/spreadsheets/d/1IYY_tgx_IHuhSq3AJ5eI5OnqOPBNLWSHKh2a30DoXe8/edit?usp=sharing"",""นราธิวาส!J214"")"),0)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2" t="s">
        <v>17</v>
      </c>
      <c r="E310" s="573"/>
      <c r="F310" s="573"/>
      <c r="G310" s="573"/>
      <c r="H310" s="153" t="s">
        <v>12</v>
      </c>
      <c r="I310" s="342"/>
      <c r="J310" s="342"/>
      <c r="K310" s="343"/>
      <c r="L310" s="156">
        <f t="shared" ref="L310:N310" ca="1" si="92">L311+L312</f>
        <v>0</v>
      </c>
      <c r="M310" s="156">
        <f t="shared" ca="1" si="92"/>
        <v>0</v>
      </c>
      <c r="N310" s="156">
        <f t="shared" ca="1" si="92"/>
        <v>0</v>
      </c>
      <c r="O310" s="155">
        <f t="shared" ref="O310:O312" ca="1" si="93">IF(L310&gt;0,N310*100/L310,0)</f>
        <v>0</v>
      </c>
      <c r="P310" s="155">
        <f t="shared" ref="P310:P312" ca="1" si="94">IF(M310&gt;0,N310*100/M310,0)</f>
        <v>0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5">L313+L317</f>
        <v>0</v>
      </c>
      <c r="M311" s="161">
        <f t="shared" si="95"/>
        <v>0</v>
      </c>
      <c r="N311" s="161">
        <f t="shared" si="95"/>
        <v>0</v>
      </c>
      <c r="O311" s="160">
        <f t="shared" si="93"/>
        <v>0</v>
      </c>
      <c r="P311" s="160">
        <f t="shared" si="94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6">L314+L318</f>
        <v>0</v>
      </c>
      <c r="M312" s="161">
        <f t="shared" ca="1" si="96"/>
        <v>0</v>
      </c>
      <c r="N312" s="161">
        <f t="shared" ca="1" si="96"/>
        <v>0</v>
      </c>
      <c r="O312" s="160">
        <f t="shared" ca="1" si="93"/>
        <v>0</v>
      </c>
      <c r="P312" s="160">
        <f t="shared" ca="1" si="94"/>
        <v>0</v>
      </c>
    </row>
    <row r="313" spans="1:16" ht="21.75" customHeight="1" x14ac:dyDescent="0.3">
      <c r="A313" s="162"/>
      <c r="B313" s="163"/>
      <c r="C313" s="163" t="s">
        <v>16</v>
      </c>
      <c r="D313" s="574" t="s">
        <v>20</v>
      </c>
      <c r="E313" s="575"/>
      <c r="F313" s="575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IFERROR(__xludf.DUMMYFUNCTION("IMPORTRANGE(""https://docs.google.com/spreadsheets/d/1Yj_ptqi66GCucihVvJfMjLAmec39IyEx_6qawtMGysU/edit?usp=sharing"",""สบก!DC85"")"),0)</f>
        <v>0</v>
      </c>
      <c r="N314" s="174">
        <f ca="1">IFERROR(__xludf.DUMMYFUNCTION("IMPORTRANGE(""https://docs.google.com/spreadsheets/d/1Yj_ptqi66GCucihVvJfMjLAmec39IyEx_6qawtMGysU/edit?usp=sharing"",""สบก!DD85"")"),0)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IFERROR(__xludf.DUMMYFUNCTION("IMPORTRANGE(""https://docs.google.com/spreadsheets/d/1Yj_ptqi66GCucihVvJfMjLAmec39IyEx_6qawtMGysU/edit?usp=sharing"",""สบก!CY85"")"),0)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IFERROR(__xludf.DUMMYFUNCTION("IMPORTRANGE(""https://docs.google.com/spreadsheets/d/1Yj_ptqi66GCucihVvJfMjLAmec39IyEx_6qawtMGysU/edit?usp=sharing"",""สบก!CZ85"")"),0)</f>
        <v>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6" t="s">
        <v>23</v>
      </c>
      <c r="E317" s="575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IFERROR(__xludf.DUMMYFUNCTION("IMPORTRANGE(""https://docs.google.com/spreadsheets/d/1Yj_ptqi66GCucihVvJfMjLAmec39IyEx_6qawtMGysU/edit?usp=sharing"",""สบก!DA85"")"),0)</f>
        <v>0</v>
      </c>
      <c r="M318" s="101"/>
      <c r="N318" s="91">
        <f ca="1">IFERROR(__xludf.DUMMYFUNCTION("IMPORTRANGE(""https://docs.google.com/spreadsheets/d/1Yj_ptqi66GCucihVvJfMjLAmec39IyEx_6qawtMGysU/edit?usp=sharing"",""สบก!DE85"")"),0)</f>
        <v>0</v>
      </c>
      <c r="O318" s="101">
        <f ca="1">IF(L318&gt;0,N318*100/L318,0)</f>
        <v>0</v>
      </c>
      <c r="P318" s="101"/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IFERROR(__xludf.DUMMYFUNCTION("IMPORTRANGE(""https://docs.google.com/spreadsheets/d/1IYY_tgx_IHuhSq3AJ5eI5OnqOPBNLWSHKh2a30DoXe8/edit?usp=sharing"",""นราธิวาส!J220"")"),0)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IFERROR(__xludf.DUMMYFUNCTION("IMPORTRANGE(""https://docs.google.com/spreadsheets/d/1IYY_tgx_IHuhSq3AJ5eI5OnqOPBNLWSHKh2a30DoXe8/edit?usp=sharing"",""นราธิวาส!J221"")"),0)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IFERROR(__xludf.DUMMYFUNCTION("IMPORTRANGE(""https://docs.google.com/spreadsheets/d/1IYY_tgx_IHuhSq3AJ5eI5OnqOPBNLWSHKh2a30DoXe8/edit?usp=sharing"",""นราธิวาส!J222"")"),0)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IFERROR(__xludf.DUMMYFUNCTION("IMPORTRANGE(""https://docs.google.com/spreadsheets/d/1IYY_tgx_IHuhSq3AJ5eI5OnqOPBNLWSHKh2a30DoXe8/edit?usp=sharing"",""นราธิวาส!J223"")"),0)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IFERROR(__xludf.DUMMYFUNCTION("IMPORTRANGE(""https://docs.google.com/spreadsheets/d/1IYY_tgx_IHuhSq3AJ5eI5OnqOPBNLWSHKh2a30DoXe8/edit?usp=sharing"",""นราธิวาส!I224"")"),0)</f>
        <v>0</v>
      </c>
      <c r="J324" s="210">
        <f ca="1">IFERROR(__xludf.DUMMYFUNCTION("IMPORTRANGE(""https://docs.google.com/spreadsheets/d/1IYY_tgx_IHuhSq3AJ5eI5OnqOPBNLWSHKh2a30DoXe8/edit?usp=sharing"",""นราธิวาส!J224"")"),0)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IFERROR(__xludf.DUMMYFUNCTION("IMPORTRANGE(""https://docs.google.com/spreadsheets/d/1IYY_tgx_IHuhSq3AJ5eI5OnqOPBNLWSHKh2a30DoXe8/edit?usp=sharing"",""นราธิวาส!J225"")"),0)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IFERROR(__xludf.DUMMYFUNCTION("IMPORTRANGE(""https://docs.google.com/spreadsheets/d/1IYY_tgx_IHuhSq3AJ5eI5OnqOPBNLWSHKh2a30DoXe8/edit?usp=sharing"",""นราธิวาส!J226"")"),0)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IFERROR(__xludf.DUMMYFUNCTION("IMPORTRANGE(""https://docs.google.com/spreadsheets/d/1IYY_tgx_IHuhSq3AJ5eI5OnqOPBNLWSHKh2a30DoXe8/edit?usp=sharing"",""นราธิวาส!I228"")"),65)</f>
        <v>65</v>
      </c>
      <c r="J328" s="345">
        <f ca="1">IFERROR(__xludf.DUMMYFUNCTION("IMPORTRANGE(""https://docs.google.com/spreadsheets/d/1IYY_tgx_IHuhSq3AJ5eI5OnqOPBNLWSHKh2a30DoXe8/edit?usp=sharing"",""นราธิวาส!J228"")"),51)</f>
        <v>51</v>
      </c>
      <c r="K328" s="323">
        <f ca="1">IF(I328&gt;0,J328*100/I328,0)</f>
        <v>78.461538461538467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2" t="s">
        <v>17</v>
      </c>
      <c r="E329" s="573"/>
      <c r="F329" s="573"/>
      <c r="G329" s="573"/>
      <c r="H329" s="153" t="s">
        <v>12</v>
      </c>
      <c r="I329" s="166"/>
      <c r="J329" s="166"/>
      <c r="K329" s="167"/>
      <c r="L329" s="156">
        <f t="shared" ref="L329:N329" ca="1" si="97">L330+L331</f>
        <v>721520</v>
      </c>
      <c r="M329" s="156">
        <f t="shared" ca="1" si="97"/>
        <v>764020</v>
      </c>
      <c r="N329" s="156">
        <f t="shared" ca="1" si="97"/>
        <v>653611.41</v>
      </c>
      <c r="O329" s="155">
        <f t="shared" ref="O329:O331" ca="1" si="98">IF(L329&gt;0,N329*100/L329,0)</f>
        <v>90.588120911409248</v>
      </c>
      <c r="P329" s="155">
        <f t="shared" ref="P329:P331" ca="1" si="99">IF(M329&gt;0,N329*100/M329,0)</f>
        <v>85.548992172979766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0">L332+L336</f>
        <v>0</v>
      </c>
      <c r="M330" s="161">
        <f t="shared" si="100"/>
        <v>0</v>
      </c>
      <c r="N330" s="161">
        <f t="shared" si="100"/>
        <v>0</v>
      </c>
      <c r="O330" s="160">
        <f t="shared" si="98"/>
        <v>0</v>
      </c>
      <c r="P330" s="160">
        <f t="shared" si="99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1">L333+L337</f>
        <v>721520</v>
      </c>
      <c r="M331" s="161">
        <f t="shared" ca="1" si="101"/>
        <v>764020</v>
      </c>
      <c r="N331" s="161">
        <f t="shared" ca="1" si="101"/>
        <v>653611.41</v>
      </c>
      <c r="O331" s="160">
        <f t="shared" ca="1" si="98"/>
        <v>90.588120911409248</v>
      </c>
      <c r="P331" s="160">
        <f t="shared" ca="1" si="99"/>
        <v>85.548992172979766</v>
      </c>
    </row>
    <row r="332" spans="1:16" ht="21.75" customHeight="1" x14ac:dyDescent="0.3">
      <c r="A332" s="162"/>
      <c r="B332" s="163"/>
      <c r="C332" s="163" t="s">
        <v>16</v>
      </c>
      <c r="D332" s="574" t="s">
        <v>20</v>
      </c>
      <c r="E332" s="575"/>
      <c r="F332" s="575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721520</v>
      </c>
      <c r="M333" s="173">
        <f ca="1">IFERROR(__xludf.DUMMYFUNCTION("IMPORTRANGE(""https://docs.google.com/spreadsheets/d/1Yj_ptqi66GCucihVvJfMjLAmec39IyEx_6qawtMGysU/edit?usp=sharing"",""สบก!DL85"")"),764020)</f>
        <v>764020</v>
      </c>
      <c r="N333" s="174">
        <f ca="1">IFERROR(__xludf.DUMMYFUNCTION("IMPORTRANGE(""https://docs.google.com/spreadsheets/d/1Yj_ptqi66GCucihVvJfMjLAmec39IyEx_6qawtMGysU/edit?usp=sharing"",""สบก!DM85"")"),653611.41)</f>
        <v>653611.41</v>
      </c>
      <c r="O333" s="175">
        <f ca="1">IF(L333&gt;0,N333*100/L333,0)</f>
        <v>90.588120911409248</v>
      </c>
      <c r="P333" s="175">
        <f ca="1">IF(M333&gt;0,N333*100/M333,0)</f>
        <v>85.548992172979766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IFERROR(__xludf.DUMMYFUNCTION("IMPORTRANGE(""https://docs.google.com/spreadsheets/d/1Yj_ptqi66GCucihVvJfMjLAmec39IyEx_6qawtMGysU/edit?usp=sharing"",""สบก!DH85"")"),506800)</f>
        <v>506800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IFERROR(__xludf.DUMMYFUNCTION("IMPORTRANGE(""https://docs.google.com/spreadsheets/d/1Yj_ptqi66GCucihVvJfMjLAmec39IyEx_6qawtMGysU/edit?usp=sharing"",""สบก!DI85"")"),214720)</f>
        <v>214720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6" t="s">
        <v>23</v>
      </c>
      <c r="E336" s="575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IFERROR(__xludf.DUMMYFUNCTION("IMPORTRANGE(""https://docs.google.com/spreadsheets/d/1Yj_ptqi66GCucihVvJfMjLAmec39IyEx_6qawtMGysU/edit?usp=sharing"",""สบก!DJ85"")"),0)</f>
        <v>0</v>
      </c>
      <c r="M337" s="101"/>
      <c r="N337" s="91">
        <f ca="1">IFERROR(__xludf.DUMMYFUNCTION("IMPORTRANGE(""https://docs.google.com/spreadsheets/d/1Yj_ptqi66GCucihVvJfMjLAmec39IyEx_6qawtMGysU/edit?usp=sharing"",""สบก!DN85"")"),0)</f>
        <v>0</v>
      </c>
      <c r="O337" s="101">
        <f ca="1">IF(L337&gt;0,N337*100/L337,0)</f>
        <v>0</v>
      </c>
      <c r="P337" s="101"/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IFERROR(__xludf.DUMMYFUNCTION("IMPORTRANGE(""https://docs.google.com/spreadsheets/d/1IYY_tgx_IHuhSq3AJ5eI5OnqOPBNLWSHKh2a30DoXe8/edit?usp=sharing"",""นราธิวาส!I234"")"),0)</f>
        <v>0</v>
      </c>
      <c r="J339" s="194">
        <f ca="1">IFERROR(__xludf.DUMMYFUNCTION("IMPORTRANGE(""https://docs.google.com/spreadsheets/d/1IYY_tgx_IHuhSq3AJ5eI5OnqOPBNLWSHKh2a30DoXe8/edit?usp=sharing"",""นราธิวาส!J234"")"),63)</f>
        <v>63</v>
      </c>
      <c r="K339" s="348">
        <f t="shared" ref="K339:K346" ca="1" si="102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IFERROR(__xludf.DUMMYFUNCTION("IMPORTRANGE(""https://docs.google.com/spreadsheets/d/1IYY_tgx_IHuhSq3AJ5eI5OnqOPBNLWSHKh2a30DoXe8/edit?usp=sharing"",""นราธิวาส!I235"")"),165)</f>
        <v>165</v>
      </c>
      <c r="J340" s="194">
        <f ca="1">IFERROR(__xludf.DUMMYFUNCTION("IMPORTRANGE(""https://docs.google.com/spreadsheets/d/1IYY_tgx_IHuhSq3AJ5eI5OnqOPBNLWSHKh2a30DoXe8/edit?usp=sharing"",""นราธิวาส!J235"")"),253.829999999999)</f>
        <v>253.82999999999899</v>
      </c>
      <c r="K340" s="348">
        <f t="shared" ca="1" si="102"/>
        <v>153.83636363636302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IFERROR(__xludf.DUMMYFUNCTION("IMPORTRANGE(""https://docs.google.com/spreadsheets/d/1IYY_tgx_IHuhSq3AJ5eI5OnqOPBNLWSHKh2a30DoXe8/edit?usp=sharing"",""นราธิวาส!I236"")"),65)</f>
        <v>65</v>
      </c>
      <c r="J341" s="194">
        <f ca="1">IFERROR(__xludf.DUMMYFUNCTION("IMPORTRANGE(""https://docs.google.com/spreadsheets/d/1IYY_tgx_IHuhSq3AJ5eI5OnqOPBNLWSHKh2a30DoXe8/edit?usp=sharing"",""นราธิวาส!J236"")"),72)</f>
        <v>72</v>
      </c>
      <c r="K341" s="348">
        <f t="shared" ca="1" si="102"/>
        <v>110.76923076923077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IFERROR(__xludf.DUMMYFUNCTION("IMPORTRANGE(""https://docs.google.com/spreadsheets/d/1IYY_tgx_IHuhSq3AJ5eI5OnqOPBNLWSHKh2a30DoXe8/edit?usp=sharing"",""นราธิวาส!I237"")"),0)</f>
        <v>0</v>
      </c>
      <c r="J342" s="194">
        <f ca="1">IFERROR(__xludf.DUMMYFUNCTION("IMPORTRANGE(""https://docs.google.com/spreadsheets/d/1IYY_tgx_IHuhSq3AJ5eI5OnqOPBNLWSHKh2a30DoXe8/edit?usp=sharing"",""นราธิวาส!J237"")"),312.36)</f>
        <v>312.36</v>
      </c>
      <c r="K342" s="348">
        <f t="shared" ca="1" si="102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IFERROR(__xludf.DUMMYFUNCTION("IMPORTRANGE(""https://docs.google.com/spreadsheets/d/1IYY_tgx_IHuhSq3AJ5eI5OnqOPBNLWSHKh2a30DoXe8/edit?usp=sharing"",""นราธิวาส!I238"")"),65)</f>
        <v>65</v>
      </c>
      <c r="J343" s="194">
        <f ca="1">IFERROR(__xludf.DUMMYFUNCTION("IMPORTRANGE(""https://docs.google.com/spreadsheets/d/1IYY_tgx_IHuhSq3AJ5eI5OnqOPBNLWSHKh2a30DoXe8/edit?usp=sharing"",""นราธิวาส!J238"")"),0)</f>
        <v>0</v>
      </c>
      <c r="K343" s="348">
        <f t="shared" ca="1" si="102"/>
        <v>0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IFERROR(__xludf.DUMMYFUNCTION("IMPORTRANGE(""https://docs.google.com/spreadsheets/d/1IYY_tgx_IHuhSq3AJ5eI5OnqOPBNLWSHKh2a30DoXe8/edit?usp=sharing"",""นราธิวาส!I239"")"),0)</f>
        <v>0</v>
      </c>
      <c r="J344" s="194">
        <f ca="1">IFERROR(__xludf.DUMMYFUNCTION("IMPORTRANGE(""https://docs.google.com/spreadsheets/d/1IYY_tgx_IHuhSq3AJ5eI5OnqOPBNLWSHKh2a30DoXe8/edit?usp=sharing"",""นราธิวาส!J239"")"),0)</f>
        <v>0</v>
      </c>
      <c r="K344" s="348">
        <f t="shared" ca="1" si="102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IFERROR(__xludf.DUMMYFUNCTION("IMPORTRANGE(""https://docs.google.com/spreadsheets/d/1IYY_tgx_IHuhSq3AJ5eI5OnqOPBNLWSHKh2a30DoXe8/edit?usp=sharing"",""นราธิวาส!I240"")"),65)</f>
        <v>65</v>
      </c>
      <c r="J345" s="194">
        <f ca="1">IFERROR(__xludf.DUMMYFUNCTION("IMPORTRANGE(""https://docs.google.com/spreadsheets/d/1IYY_tgx_IHuhSq3AJ5eI5OnqOPBNLWSHKh2a30DoXe8/edit?usp=sharing"",""นราธิวาส!J240"")"),51)</f>
        <v>51</v>
      </c>
      <c r="K345" s="348">
        <f t="shared" ca="1" si="102"/>
        <v>78.461538461538467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IFERROR(__xludf.DUMMYFUNCTION("IMPORTRANGE(""https://docs.google.com/spreadsheets/d/1IYY_tgx_IHuhSq3AJ5eI5OnqOPBNLWSHKh2a30DoXe8/edit?usp=sharing"",""นราธิวาส!I241"")"),0)</f>
        <v>0</v>
      </c>
      <c r="J346" s="194">
        <f ca="1">IFERROR(__xludf.DUMMYFUNCTION("IMPORTRANGE(""https://docs.google.com/spreadsheets/d/1IYY_tgx_IHuhSq3AJ5eI5OnqOPBNLWSHKh2a30DoXe8/edit?usp=sharing"",""นราธิวาส!J241"")"),242.03)</f>
        <v>242.03</v>
      </c>
      <c r="K346" s="357">
        <f t="shared" ca="1" si="102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IFERROR(__xludf.DUMMYFUNCTION("IMPORTRANGE(""https://docs.google.com/spreadsheets/d/1IYY_tgx_IHuhSq3AJ5eI5OnqOPBNLWSHKh2a30DoXe8/edit?usp=sharing"",""นราธิวาส!L242"")"),1564478)</f>
        <v>1564478</v>
      </c>
      <c r="M347" s="364"/>
      <c r="N347" s="364">
        <f ca="1">IFERROR(__xludf.DUMMYFUNCTION("IMPORTRANGE(""https://docs.google.com/spreadsheets/d/1IYY_tgx_IHuhSq3AJ5eI5OnqOPBNLWSHKh2a30DoXe8/edit?usp=sharing"",""นราธิวาส!M242"")"),1528181.45)</f>
        <v>1528181.45</v>
      </c>
      <c r="O347" s="364">
        <f ca="1">+IF(L347&gt;0,N347*100/L347,0)</f>
        <v>97.679957787837225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IFERROR(__xludf.DUMMYFUNCTION("IMPORTRANGE(""https://docs.google.com/spreadsheets/d/1IYY_tgx_IHuhSq3AJ5eI5OnqOPBNLWSHKh2a30DoXe8/edit?usp=sharing"",""นราธิวาส!I244"")"),0)</f>
        <v>0</v>
      </c>
      <c r="J349" s="377">
        <f ca="1">IFERROR(__xludf.DUMMYFUNCTION("IMPORTRANGE(""https://docs.google.com/spreadsheets/d/1IYY_tgx_IHuhSq3AJ5eI5OnqOPBNLWSHKh2a30DoXe8/edit?usp=sharing"",""นราธิวาส!J244"")"),0)</f>
        <v>0</v>
      </c>
      <c r="K349" s="378">
        <f t="shared" ref="K349:K350" ca="1" si="103">IF(I349&gt;0,J349*100/I349,0)</f>
        <v>0</v>
      </c>
      <c r="L349" s="379">
        <f ca="1">IFERROR(__xludf.DUMMYFUNCTION("IMPORTRANGE(""https://docs.google.com/spreadsheets/d/1IYY_tgx_IHuhSq3AJ5eI5OnqOPBNLWSHKh2a30DoXe8/edit?usp=sharing"",""นราธิวาส!L244"")"),0)</f>
        <v>0</v>
      </c>
      <c r="M349" s="379"/>
      <c r="N349" s="379">
        <f ca="1">IFERROR(__xludf.DUMMYFUNCTION("IMPORTRANGE(""https://docs.google.com/spreadsheets/d/1IYY_tgx_IHuhSq3AJ5eI5OnqOPBNLWSHKh2a30DoXe8/edit?usp=sharing"",""นราธิวาส!M244"")"),0)</f>
        <v>0</v>
      </c>
      <c r="O349" s="379">
        <f ca="1">+IF(L349&gt;0,N349*100/L349,0)</f>
        <v>0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IFERROR(__xludf.DUMMYFUNCTION("IMPORTRANGE(""https://docs.google.com/spreadsheets/d/1IYY_tgx_IHuhSq3AJ5eI5OnqOPBNLWSHKh2a30DoXe8/edit?usp=sharing"",""นราธิวาส!I245"")"),0)</f>
        <v>0</v>
      </c>
      <c r="J350" s="377">
        <f ca="1">IFERROR(__xludf.DUMMYFUNCTION("IMPORTRANGE(""https://docs.google.com/spreadsheets/d/1IYY_tgx_IHuhSq3AJ5eI5OnqOPBNLWSHKh2a30DoXe8/edit?usp=sharing"",""นราธิวาส!J245"")"),0)</f>
        <v>0</v>
      </c>
      <c r="K350" s="378">
        <f t="shared" ca="1" si="103"/>
        <v>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IFERROR(__xludf.DUMMYFUNCTION("IMPORTRANGE(""https://docs.google.com/spreadsheets/d/1IYY_tgx_IHuhSq3AJ5eI5OnqOPBNLWSHKh2a30DoXe8/edit?usp=sharing"",""นราธิวาส!L246"")"),0)</f>
        <v>0</v>
      </c>
      <c r="M351" s="168"/>
      <c r="N351" s="168">
        <f ca="1">IFERROR(__xludf.DUMMYFUNCTION("IMPORTRANGE(""https://docs.google.com/spreadsheets/d/1IYY_tgx_IHuhSq3AJ5eI5OnqOPBNLWSHKh2a30DoXe8/edit?usp=sharing"",""นราธิวาส!M246"")"),0)</f>
        <v>0</v>
      </c>
      <c r="O351" s="169">
        <f t="shared" ref="O351:O354" ca="1" si="104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IFERROR(__xludf.DUMMYFUNCTION("IMPORTRANGE(""https://docs.google.com/spreadsheets/d/1IYY_tgx_IHuhSq3AJ5eI5OnqOPBNLWSHKh2a30DoXe8/edit?usp=sharing"",""นราธิวาส!L247"")"),0)</f>
        <v>0</v>
      </c>
      <c r="M352" s="169"/>
      <c r="N352" s="168">
        <f ca="1">IFERROR(__xludf.DUMMYFUNCTION("IMPORTRANGE(""https://docs.google.com/spreadsheets/d/1IYY_tgx_IHuhSq3AJ5eI5OnqOPBNLWSHKh2a30DoXe8/edit?usp=sharing"",""นราธิวาส!M247"")"),0)</f>
        <v>0</v>
      </c>
      <c r="O352" s="169">
        <f t="shared" ca="1" si="104"/>
        <v>0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IFERROR(__xludf.DUMMYFUNCTION("IMPORTRANGE(""https://docs.google.com/spreadsheets/d/1IYY_tgx_IHuhSq3AJ5eI5OnqOPBNLWSHKh2a30DoXe8/edit?usp=sharing"",""นราธิวาส!L248"")"),0)</f>
        <v>0</v>
      </c>
      <c r="M353" s="175"/>
      <c r="N353" s="175">
        <f ca="1">IFERROR(__xludf.DUMMYFUNCTION("IMPORTRANGE(""https://docs.google.com/spreadsheets/d/1IYY_tgx_IHuhSq3AJ5eI5OnqOPBNLWSHKh2a30DoXe8/edit?usp=sharing"",""นราธิวาส!M248"")"),0)</f>
        <v>0</v>
      </c>
      <c r="O353" s="175">
        <f t="shared" ca="1" si="104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IFERROR(__xludf.DUMMYFUNCTION("IMPORTRANGE(""https://docs.google.com/spreadsheets/d/1IYY_tgx_IHuhSq3AJ5eI5OnqOPBNLWSHKh2a30DoXe8/edit?usp=sharing"",""นราธิวาส!L249"")"),0)</f>
        <v>0</v>
      </c>
      <c r="M354" s="175"/>
      <c r="N354" s="172">
        <f ca="1">IFERROR(__xludf.DUMMYFUNCTION("IMPORTRANGE(""https://docs.google.com/spreadsheets/d/1IYY_tgx_IHuhSq3AJ5eI5OnqOPBNLWSHKh2a30DoXe8/edit?usp=sharing"",""นราธิวาส!M249"")"),0)</f>
        <v>0</v>
      </c>
      <c r="O354" s="175">
        <f t="shared" ca="1" si="104"/>
        <v>0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IFERROR(__xludf.DUMMYFUNCTION("IMPORTRANGE(""https://docs.google.com/spreadsheets/d/1IYY_tgx_IHuhSq3AJ5eI5OnqOPBNLWSHKh2a30DoXe8/edit?usp=sharing"",""นราธิวาส!M250"")"),0)</f>
        <v>0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IFERROR(__xludf.DUMMYFUNCTION("IMPORTRANGE(""https://docs.google.com/spreadsheets/d/1IYY_tgx_IHuhSq3AJ5eI5OnqOPBNLWSHKh2a30DoXe8/edit?usp=sharing"",""นราธิวาส!M251"")"),0)</f>
        <v>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IFERROR(__xludf.DUMMYFUNCTION("IMPORTRANGE(""https://docs.google.com/spreadsheets/d/1IYY_tgx_IHuhSq3AJ5eI5OnqOPBNLWSHKh2a30DoXe8/edit?usp=sharing"",""นราธิวาส!M252"")"),0)</f>
        <v>0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IFERROR(__xludf.DUMMYFUNCTION("IMPORTRANGE(""https://docs.google.com/spreadsheets/d/1IYY_tgx_IHuhSq3AJ5eI5OnqOPBNLWSHKh2a30DoXe8/edit?usp=sharing"",""นราธิวาส!M253"")"),0)</f>
        <v>0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IFERROR(__xludf.DUMMYFUNCTION("IMPORTRANGE(""https://docs.google.com/spreadsheets/d/1IYY_tgx_IHuhSq3AJ5eI5OnqOPBNLWSHKh2a30DoXe8/edit?usp=sharing"",""นราธิวาส!J255"")"),0)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IFERROR(__xludf.DUMMYFUNCTION("IMPORTRANGE(""https://docs.google.com/spreadsheets/d/1IYY_tgx_IHuhSq3AJ5eI5OnqOPBNLWSHKh2a30DoXe8/edit?usp=sharing"",""นราธิวาส!J256"")"),0)</f>
        <v>0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IFERROR(__xludf.DUMMYFUNCTION("IMPORTRANGE(""https://docs.google.com/spreadsheets/d/1IYY_tgx_IHuhSq3AJ5eI5OnqOPBNLWSHKh2a30DoXe8/edit?usp=sharing"",""นราธิวาส!J257"")"),0)</f>
        <v>0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IFERROR(__xludf.DUMMYFUNCTION("IMPORTRANGE(""https://docs.google.com/spreadsheets/d/1IYY_tgx_IHuhSq3AJ5eI5OnqOPBNLWSHKh2a30DoXe8/edit?usp=sharing"",""นราธิวาส!J258"")"),0)</f>
        <v>0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IFERROR(__xludf.DUMMYFUNCTION("IMPORTRANGE(""https://docs.google.com/spreadsheets/d/1IYY_tgx_IHuhSq3AJ5eI5OnqOPBNLWSHKh2a30DoXe8/edit?usp=sharing"",""นราธิวาส!J166"")"),0)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IFERROR(__xludf.DUMMYFUNCTION("IMPORTRANGE(""https://docs.google.com/spreadsheets/d/1IYY_tgx_IHuhSq3AJ5eI5OnqOPBNLWSHKh2a30DoXe8/edit?usp=sharing"",""นราธิวาส!J166"")"),0)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IFERROR(__xludf.DUMMYFUNCTION("IMPORTRANGE(""https://docs.google.com/spreadsheets/d/1IYY_tgx_IHuhSq3AJ5eI5OnqOPBNLWSHKh2a30DoXe8/edit?usp=sharing"",""นราธิวาส!J166"")"),0)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IFERROR(__xludf.DUMMYFUNCTION("IMPORTRANGE(""https://docs.google.com/spreadsheets/d/1IYY_tgx_IHuhSq3AJ5eI5OnqOPBNLWSHKh2a30DoXe8/edit?usp=sharing"",""นราธิวาส!J166"")"),0)</f>
        <v>0</v>
      </c>
      <c r="K367" s="167">
        <f t="shared" ref="K367:K373" ca="1" si="105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IFERROR(__xludf.DUMMYFUNCTION("IMPORTRANGE(""https://docs.google.com/spreadsheets/d/1IYY_tgx_IHuhSq3AJ5eI5OnqOPBNLWSHKh2a30DoXe8/edit?usp=sharing"",""นราธิวาส!I263"")"),0)</f>
        <v>0</v>
      </c>
      <c r="J368" s="194">
        <f ca="1">IFERROR(__xludf.DUMMYFUNCTION("IMPORTRANGE(""https://docs.google.com/spreadsheets/d/1IYY_tgx_IHuhSq3AJ5eI5OnqOPBNLWSHKh2a30DoXe8/edit?usp=sharing"",""นราธิวาส!J263"")"),0)</f>
        <v>0</v>
      </c>
      <c r="K368" s="167">
        <f t="shared" ca="1" si="105"/>
        <v>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IFERROR(__xludf.DUMMYFUNCTION("IMPORTRANGE(""https://docs.google.com/spreadsheets/d/1IYY_tgx_IHuhSq3AJ5eI5OnqOPBNLWSHKh2a30DoXe8/edit?usp=sharing"",""นราธิวาส!I164"")"),0)</f>
        <v>0</v>
      </c>
      <c r="J369" s="210">
        <f ca="1">IFERROR(__xludf.DUMMYFUNCTION("IMPORTRANGE(""https://docs.google.com/spreadsheets/d/1IYY_tgx_IHuhSq3AJ5eI5OnqOPBNLWSHKh2a30DoXe8/edit?usp=sharing"",""นราธิวาส!J164"")"),0)</f>
        <v>0</v>
      </c>
      <c r="K369" s="167">
        <f t="shared" ca="1" si="105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IFERROR(__xludf.DUMMYFUNCTION("IMPORTRANGE(""https://docs.google.com/spreadsheets/d/1IYY_tgx_IHuhSq3AJ5eI5OnqOPBNLWSHKh2a30DoXe8/edit?usp=sharing"",""นราธิวาส!I265"")"),0)</f>
        <v>0</v>
      </c>
      <c r="J370" s="210">
        <f ca="1">IFERROR(__xludf.DUMMYFUNCTION("IMPORTRANGE(""https://docs.google.com/spreadsheets/d/1IYY_tgx_IHuhSq3AJ5eI5OnqOPBNLWSHKh2a30DoXe8/edit?usp=sharing"",""นราธิวาส!J265"")"),0)</f>
        <v>0</v>
      </c>
      <c r="K370" s="167">
        <f t="shared" ca="1" si="105"/>
        <v>0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IFERROR(__xludf.DUMMYFUNCTION("IMPORTRANGE(""https://docs.google.com/spreadsheets/d/1IYY_tgx_IHuhSq3AJ5eI5OnqOPBNLWSHKh2a30DoXe8/edit?usp=sharing"",""นราธิวาส!I164"")"),0)</f>
        <v>0</v>
      </c>
      <c r="J371" s="195">
        <f ca="1">IFERROR(__xludf.DUMMYFUNCTION("IMPORTRANGE(""https://docs.google.com/spreadsheets/d/1IYY_tgx_IHuhSq3AJ5eI5OnqOPBNLWSHKh2a30DoXe8/edit?usp=sharing"",""นราธิวาส!J164"")"),0)</f>
        <v>0</v>
      </c>
      <c r="K371" s="167">
        <f t="shared" ca="1" si="105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IFERROR(__xludf.DUMMYFUNCTION("IMPORTRANGE(""https://docs.google.com/spreadsheets/d/1IYY_tgx_IHuhSq3AJ5eI5OnqOPBNLWSHKh2a30DoXe8/edit?usp=sharing"",""นราธิวาส!I267"")"),0)</f>
        <v>0</v>
      </c>
      <c r="J372" s="195">
        <f ca="1">IFERROR(__xludf.DUMMYFUNCTION("IMPORTRANGE(""https://docs.google.com/spreadsheets/d/1IYY_tgx_IHuhSq3AJ5eI5OnqOPBNLWSHKh2a30DoXe8/edit?usp=sharing"",""นราธิวาส!J267"")"),0)</f>
        <v>0</v>
      </c>
      <c r="K372" s="167">
        <f t="shared" ca="1" si="105"/>
        <v>0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IFERROR(__xludf.DUMMYFUNCTION("IMPORTRANGE(""https://docs.google.com/spreadsheets/d/1IYY_tgx_IHuhSq3AJ5eI5OnqOPBNLWSHKh2a30DoXe8/edit?usp=sharing"",""นราธิวาส!I164"")"),0)</f>
        <v>0</v>
      </c>
      <c r="J373" s="210">
        <f ca="1">IFERROR(__xludf.DUMMYFUNCTION("IMPORTRANGE(""https://docs.google.com/spreadsheets/d/1IYY_tgx_IHuhSq3AJ5eI5OnqOPBNLWSHKh2a30DoXe8/edit?usp=sharing"",""นราธิวาส!J164"")"),0)</f>
        <v>0</v>
      </c>
      <c r="K373" s="167">
        <f t="shared" ca="1" si="105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IFERROR(__xludf.DUMMYFUNCTION("IMPORTRANGE(""https://docs.google.com/spreadsheets/d/1IYY_tgx_IHuhSq3AJ5eI5OnqOPBNLWSHKh2a30DoXe8/edit?usp=sharing"",""นราธิวาส!I164"")"),0)</f>
        <v>0</v>
      </c>
      <c r="J374" s="194">
        <f ca="1">IFERROR(__xludf.DUMMYFUNCTION("IMPORTRANGE(""https://docs.google.com/spreadsheets/d/1IYY_tgx_IHuhSq3AJ5eI5OnqOPBNLWSHKh2a30DoXe8/edit?usp=sharing"",""นราธิวาส!J164"")"),0)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IFERROR(__xludf.DUMMYFUNCTION("IMPORTRANGE(""https://docs.google.com/spreadsheets/d/1IYY_tgx_IHuhSq3AJ5eI5OnqOPBNLWSHKh2a30DoXe8/edit?usp=sharing"",""นราธิวาส!I270"")"),0)</f>
        <v>0</v>
      </c>
      <c r="J375" s="194">
        <f ca="1">IFERROR(__xludf.DUMMYFUNCTION("IMPORTRANGE(""https://docs.google.com/spreadsheets/d/1IYY_tgx_IHuhSq3AJ5eI5OnqOPBNLWSHKh2a30DoXe8/edit?usp=sharing"",""นราธิวาส!J270"")"),0)</f>
        <v>0</v>
      </c>
      <c r="K375" s="167">
        <f t="shared" ref="K375:K377" ca="1" si="106">IF(I375&gt;0,J375*100/I375,0)</f>
        <v>0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IFERROR(__xludf.DUMMYFUNCTION("IMPORTRANGE(""https://docs.google.com/spreadsheets/d/1IYY_tgx_IHuhSq3AJ5eI5OnqOPBNLWSHKh2a30DoXe8/edit?usp=sharing"",""นราธิวาส!I271"")"),0)</f>
        <v>0</v>
      </c>
      <c r="J376" s="195">
        <f ca="1">IFERROR(__xludf.DUMMYFUNCTION("IMPORTRANGE(""https://docs.google.com/spreadsheets/d/1IYY_tgx_IHuhSq3AJ5eI5OnqOPBNLWSHKh2a30DoXe8/edit?usp=sharing"",""นราธิวาส!J271"")"),0)</f>
        <v>0</v>
      </c>
      <c r="K376" s="167">
        <f t="shared" ca="1" si="106"/>
        <v>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IFERROR(__xludf.DUMMYFUNCTION("IMPORTRANGE(""https://docs.google.com/spreadsheets/d/1IYY_tgx_IHuhSq3AJ5eI5OnqOPBNLWSHKh2a30DoXe8/edit?usp=sharing"",""นราธิวาส!I272"")"),0)</f>
        <v>0</v>
      </c>
      <c r="J377" s="210">
        <f ca="1">IFERROR(__xludf.DUMMYFUNCTION("IMPORTRANGE(""https://docs.google.com/spreadsheets/d/1IYY_tgx_IHuhSq3AJ5eI5OnqOPBNLWSHKh2a30DoXe8/edit?usp=sharing"",""นราธิวาส!J272"")"),0)</f>
        <v>0</v>
      </c>
      <c r="K377" s="167">
        <f t="shared" ca="1" si="106"/>
        <v>0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IFERROR(__xludf.DUMMYFUNCTION("IMPORTRANGE(""https://docs.google.com/spreadsheets/d/1IYY_tgx_IHuhSq3AJ5eI5OnqOPBNLWSHKh2a30DoXe8/edit?usp=sharing"",""นราธิวาส!J273"")"),0)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IFERROR(__xludf.DUMMYFUNCTION("IMPORTRANGE(""https://docs.google.com/spreadsheets/d/1IYY_tgx_IHuhSq3AJ5eI5OnqOPBNLWSHKh2a30DoXe8/edit?usp=sharing"",""นราธิวาส!J274"")"),0)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IFERROR(__xludf.DUMMYFUNCTION("IMPORTRANGE(""https://docs.google.com/spreadsheets/d/1IYY_tgx_IHuhSq3AJ5eI5OnqOPBNLWSHKh2a30DoXe8/edit?usp=sharing"",""นราธิวาส!I275"")"),100)</f>
        <v>100</v>
      </c>
      <c r="J380" s="377">
        <f ca="1">IFERROR(__xludf.DUMMYFUNCTION("IMPORTRANGE(""https://docs.google.com/spreadsheets/d/1IYY_tgx_IHuhSq3AJ5eI5OnqOPBNLWSHKh2a30DoXe8/edit?usp=sharing"",""นราธิวาส!J275"")"),100)</f>
        <v>100</v>
      </c>
      <c r="K380" s="378">
        <f t="shared" ref="K380:K381" ca="1" si="107">IF(I380&gt;0,J380*100/I380,0)</f>
        <v>100</v>
      </c>
      <c r="L380" s="379">
        <f ca="1">IFERROR(__xludf.DUMMYFUNCTION("IMPORTRANGE(""https://docs.google.com/spreadsheets/d/1IYY_tgx_IHuhSq3AJ5eI5OnqOPBNLWSHKh2a30DoXe8/edit?usp=sharing"",""นราธิวาส!L275"")"),127660)</f>
        <v>127660</v>
      </c>
      <c r="M380" s="379"/>
      <c r="N380" s="379">
        <f ca="1">IFERROR(__xludf.DUMMYFUNCTION("IMPORTRANGE(""https://docs.google.com/spreadsheets/d/1IYY_tgx_IHuhSq3AJ5eI5OnqOPBNLWSHKh2a30DoXe8/edit?usp=sharing"",""นราธิวาส!M275"")"),127660)</f>
        <v>127660</v>
      </c>
      <c r="O380" s="379">
        <f ca="1">+IF(L380&gt;0,N380*100/L380,0)</f>
        <v>100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IFERROR(__xludf.DUMMYFUNCTION("IMPORTRANGE(""https://docs.google.com/spreadsheets/d/1IYY_tgx_IHuhSq3AJ5eI5OnqOPBNLWSHKh2a30DoXe8/edit?usp=sharing"",""นราธิวาส!I276"")"),10)</f>
        <v>10</v>
      </c>
      <c r="J381" s="377">
        <f ca="1">IFERROR(__xludf.DUMMYFUNCTION("IMPORTRANGE(""https://docs.google.com/spreadsheets/d/1IYY_tgx_IHuhSq3AJ5eI5OnqOPBNLWSHKh2a30DoXe8/edit?usp=sharing"",""นราธิวาส!J276"")"),10)</f>
        <v>10</v>
      </c>
      <c r="K381" s="378">
        <f t="shared" ca="1" si="107"/>
        <v>100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IFERROR(__xludf.DUMMYFUNCTION("IMPORTRANGE(""https://docs.google.com/spreadsheets/d/1IYY_tgx_IHuhSq3AJ5eI5OnqOPBNLWSHKh2a30DoXe8/edit?usp=sharing"",""นราธิวาส!L277"")"),0)</f>
        <v>0</v>
      </c>
      <c r="M382" s="168"/>
      <c r="N382" s="168">
        <f ca="1">IFERROR(__xludf.DUMMYFUNCTION("IMPORTRANGE(""https://docs.google.com/spreadsheets/d/1IYY_tgx_IHuhSq3AJ5eI5OnqOPBNLWSHKh2a30DoXe8/edit?usp=sharing"",""นราธิวาส!M277"")"),0)</f>
        <v>0</v>
      </c>
      <c r="O382" s="169">
        <f t="shared" ref="O382:O385" ca="1" si="108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IFERROR(__xludf.DUMMYFUNCTION("IMPORTRANGE(""https://docs.google.com/spreadsheets/d/1IYY_tgx_IHuhSq3AJ5eI5OnqOPBNLWSHKh2a30DoXe8/edit?usp=sharing"",""นราธิวาส!L278"")"),127660)</f>
        <v>127660</v>
      </c>
      <c r="M383" s="169"/>
      <c r="N383" s="169">
        <f ca="1">IFERROR(__xludf.DUMMYFUNCTION("IMPORTRANGE(""https://docs.google.com/spreadsheets/d/1IYY_tgx_IHuhSq3AJ5eI5OnqOPBNLWSHKh2a30DoXe8/edit?usp=sharing"",""นราธิวาส!M278"")"),127660)</f>
        <v>127660</v>
      </c>
      <c r="O383" s="169">
        <f t="shared" ca="1" si="108"/>
        <v>100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IFERROR(__xludf.DUMMYFUNCTION("IMPORTRANGE(""https://docs.google.com/spreadsheets/d/1IYY_tgx_IHuhSq3AJ5eI5OnqOPBNLWSHKh2a30DoXe8/edit?usp=sharing"",""นราธิวาส!L279"")"),0)</f>
        <v>0</v>
      </c>
      <c r="M384" s="175"/>
      <c r="N384" s="175">
        <f ca="1">IFERROR(__xludf.DUMMYFUNCTION("IMPORTRANGE(""https://docs.google.com/spreadsheets/d/1IYY_tgx_IHuhSq3AJ5eI5OnqOPBNLWSHKh2a30DoXe8/edit?usp=sharing"",""นราธิวาส!M279"")"),0)</f>
        <v>0</v>
      </c>
      <c r="O384" s="175">
        <f t="shared" ca="1" si="108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IFERROR(__xludf.DUMMYFUNCTION("IMPORTRANGE(""https://docs.google.com/spreadsheets/d/1IYY_tgx_IHuhSq3AJ5eI5OnqOPBNLWSHKh2a30DoXe8/edit?usp=sharing"",""นราธิวาส!L280"")"),127660)</f>
        <v>127660</v>
      </c>
      <c r="M385" s="175"/>
      <c r="N385" s="172">
        <f ca="1">IFERROR(__xludf.DUMMYFUNCTION("IMPORTRANGE(""https://docs.google.com/spreadsheets/d/1IYY_tgx_IHuhSq3AJ5eI5OnqOPBNLWSHKh2a30DoXe8/edit?usp=sharing"",""นราธิวาส!M280"")"),127660)</f>
        <v>127660</v>
      </c>
      <c r="O385" s="175">
        <f t="shared" ca="1" si="108"/>
        <v>100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IFERROR(__xludf.DUMMYFUNCTION("IMPORTRANGE(""https://docs.google.com/spreadsheets/d/1IYY_tgx_IHuhSq3AJ5eI5OnqOPBNLWSHKh2a30DoXe8/edit?usp=sharing"",""นราธิวาส!M281"")"),41400)</f>
        <v>41400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IFERROR(__xludf.DUMMYFUNCTION("IMPORTRANGE(""https://docs.google.com/spreadsheets/d/1IYY_tgx_IHuhSq3AJ5eI5OnqOPBNLWSHKh2a30DoXe8/edit?usp=sharing"",""นราธิวาส!M282"")"),62500)</f>
        <v>62500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IFERROR(__xludf.DUMMYFUNCTION("IMPORTRANGE(""https://docs.google.com/spreadsheets/d/1IYY_tgx_IHuhSq3AJ5eI5OnqOPBNLWSHKh2a30DoXe8/edit?usp=sharing"",""นราธิวาส!M283"")"),0)</f>
        <v>0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IFERROR(__xludf.DUMMYFUNCTION("IMPORTRANGE(""https://docs.google.com/spreadsheets/d/1IYY_tgx_IHuhSq3AJ5eI5OnqOPBNLWSHKh2a30DoXe8/edit?usp=sharing"",""นราธิวาส!M284"")"),23760)</f>
        <v>23760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IFERROR(__xludf.DUMMYFUNCTION("IMPORTRANGE(""https://docs.google.com/spreadsheets/d/1IYY_tgx_IHuhSq3AJ5eI5OnqOPBNLWSHKh2a30DoXe8/edit?usp=sharing"",""นราธิวาส!J286"")"),0)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IFERROR(__xludf.DUMMYFUNCTION("IMPORTRANGE(""https://docs.google.com/spreadsheets/d/1IYY_tgx_IHuhSq3AJ5eI5OnqOPBNLWSHKh2a30DoXe8/edit?usp=sharing"",""นราธิวาส!J287"")"),1)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IFERROR(__xludf.DUMMYFUNCTION("IMPORTRANGE(""https://docs.google.com/spreadsheets/d/1IYY_tgx_IHuhSq3AJ5eI5OnqOPBNLWSHKh2a30DoXe8/edit?usp=sharing"",""นราธิวาส!J288"")"),1)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IFERROR(__xludf.DUMMYFUNCTION("IMPORTRANGE(""https://docs.google.com/spreadsheets/d/1IYY_tgx_IHuhSq3AJ5eI5OnqOPBNLWSHKh2a30DoXe8/edit?usp=sharing"",""นราธิวาส!J289"")"),1)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IFERROR(__xludf.DUMMYFUNCTION("IMPORTRANGE(""https://docs.google.com/spreadsheets/d/1IYY_tgx_IHuhSq3AJ5eI5OnqOPBNLWSHKh2a30DoXe8/edit?usp=sharing"",""นราธิวาส!I291"")"),10)</f>
        <v>10</v>
      </c>
      <c r="J396" s="204">
        <f ca="1">IFERROR(__xludf.DUMMYFUNCTION("IMPORTRANGE(""https://docs.google.com/spreadsheets/d/1IYY_tgx_IHuhSq3AJ5eI5OnqOPBNLWSHKh2a30DoXe8/edit?usp=sharing"",""นราธิวาส!J291"")"),10)</f>
        <v>10</v>
      </c>
      <c r="K396" s="167">
        <f t="shared" ref="K396:K398" ca="1" si="109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IFERROR(__xludf.DUMMYFUNCTION("IMPORTRANGE(""https://docs.google.com/spreadsheets/d/1IYY_tgx_IHuhSq3AJ5eI5OnqOPBNLWSHKh2a30DoXe8/edit?usp=sharing"",""นราธิวาส!I292"")"),100)</f>
        <v>100</v>
      </c>
      <c r="J397" s="204">
        <f ca="1">IFERROR(__xludf.DUMMYFUNCTION("IMPORTRANGE(""https://docs.google.com/spreadsheets/d/1IYY_tgx_IHuhSq3AJ5eI5OnqOPBNLWSHKh2a30DoXe8/edit?usp=sharing"",""นราธิวาส!J292"")"),100)</f>
        <v>100</v>
      </c>
      <c r="K397" s="167">
        <f t="shared" ca="1" si="109"/>
        <v>100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IFERROR(__xludf.DUMMYFUNCTION("IMPORTRANGE(""https://docs.google.com/spreadsheets/d/1IYY_tgx_IHuhSq3AJ5eI5OnqOPBNLWSHKh2a30DoXe8/edit?usp=sharing"",""นราธิวาส!I293"")"),10)</f>
        <v>10</v>
      </c>
      <c r="J398" s="204">
        <f ca="1">IFERROR(__xludf.DUMMYFUNCTION("IMPORTRANGE(""https://docs.google.com/spreadsheets/d/1IYY_tgx_IHuhSq3AJ5eI5OnqOPBNLWSHKh2a30DoXe8/edit?usp=sharing"",""นราธิวาส!J293"")"),10)</f>
        <v>10</v>
      </c>
      <c r="K398" s="167">
        <f t="shared" ca="1" si="109"/>
        <v>100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IFERROR(__xludf.DUMMYFUNCTION("IMPORTRANGE(""https://docs.google.com/spreadsheets/d/1IYY_tgx_IHuhSq3AJ5eI5OnqOPBNLWSHKh2a30DoXe8/edit?usp=sharing"",""นราธิวาส!J294"")"),0)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IFERROR(__xludf.DUMMYFUNCTION("IMPORTRANGE(""https://docs.google.com/spreadsheets/d/1IYY_tgx_IHuhSq3AJ5eI5OnqOPBNLWSHKh2a30DoXe8/edit?usp=sharing"",""นราธิวาส!J295"")"),0)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IFERROR(__xludf.DUMMYFUNCTION("IMPORTRANGE(""https://docs.google.com/spreadsheets/d/1IYY_tgx_IHuhSq3AJ5eI5OnqOPBNLWSHKh2a30DoXe8/edit?usp=sharing"",""นราธิวาส!I296"")"),165)</f>
        <v>165</v>
      </c>
      <c r="J401" s="377">
        <f ca="1">IFERROR(__xludf.DUMMYFUNCTION("IMPORTRANGE(""https://docs.google.com/spreadsheets/d/1IYY_tgx_IHuhSq3AJ5eI5OnqOPBNLWSHKh2a30DoXe8/edit?usp=sharing"",""นราธิวาส!J296"")"),165)</f>
        <v>165</v>
      </c>
      <c r="K401" s="378">
        <f t="shared" ref="K401:K402" ca="1" si="110">IF(I401&gt;0,J401*100/I401,0)</f>
        <v>100</v>
      </c>
      <c r="L401" s="379">
        <f ca="1">IFERROR(__xludf.DUMMYFUNCTION("IMPORTRANGE(""https://docs.google.com/spreadsheets/d/1IYY_tgx_IHuhSq3AJ5eI5OnqOPBNLWSHKh2a30DoXe8/edit?usp=sharing"",""นราธิวาส!L296"")"),195740)</f>
        <v>195740</v>
      </c>
      <c r="M401" s="379"/>
      <c r="N401" s="379">
        <f ca="1">IFERROR(__xludf.DUMMYFUNCTION("IMPORTRANGE(""https://docs.google.com/spreadsheets/d/1IYY_tgx_IHuhSq3AJ5eI5OnqOPBNLWSHKh2a30DoXe8/edit?usp=sharing"",""นราธิวาส!M296"")"),195740)</f>
        <v>195740</v>
      </c>
      <c r="O401" s="379">
        <f ca="1">+IF(L401&gt;0,N401*100/L401,0)</f>
        <v>100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IFERROR(__xludf.DUMMYFUNCTION("IMPORTRANGE(""https://docs.google.com/spreadsheets/d/1IYY_tgx_IHuhSq3AJ5eI5OnqOPBNLWSHKh2a30DoXe8/edit?usp=sharing"",""นราธิวาส!I297"")"),55)</f>
        <v>55</v>
      </c>
      <c r="J402" s="377">
        <f ca="1">IFERROR(__xludf.DUMMYFUNCTION("IMPORTRANGE(""https://docs.google.com/spreadsheets/d/1IYY_tgx_IHuhSq3AJ5eI5OnqOPBNLWSHKh2a30DoXe8/edit?usp=sharing"",""นราธิวาส!J297"")"),55)</f>
        <v>55</v>
      </c>
      <c r="K402" s="378">
        <f t="shared" ca="1" si="110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IFERROR(__xludf.DUMMYFUNCTION("IMPORTRANGE(""https://docs.google.com/spreadsheets/d/1IYY_tgx_IHuhSq3AJ5eI5OnqOPBNLWSHKh2a30DoXe8/edit?usp=sharing"",""นราธิวาส!L298"")"),0)</f>
        <v>0</v>
      </c>
      <c r="M403" s="168"/>
      <c r="N403" s="175">
        <f ca="1">IFERROR(__xludf.DUMMYFUNCTION("IMPORTRANGE(""https://docs.google.com/spreadsheets/d/1IYY_tgx_IHuhSq3AJ5eI5OnqOPBNLWSHKh2a30DoXe8/edit?usp=sharing"",""นราธิวาส!M298"")"),0)</f>
        <v>0</v>
      </c>
      <c r="O403" s="175">
        <f t="shared" ref="O403:O406" ca="1" si="111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IFERROR(__xludf.DUMMYFUNCTION("IMPORTRANGE(""https://docs.google.com/spreadsheets/d/1IYY_tgx_IHuhSq3AJ5eI5OnqOPBNLWSHKh2a30DoXe8/edit?usp=sharing"",""นราธิวาส!L299"")"),195740)</f>
        <v>195740</v>
      </c>
      <c r="M404" s="169"/>
      <c r="N404" s="175">
        <f ca="1">IFERROR(__xludf.DUMMYFUNCTION("IMPORTRANGE(""https://docs.google.com/spreadsheets/d/1IYY_tgx_IHuhSq3AJ5eI5OnqOPBNLWSHKh2a30DoXe8/edit?usp=sharing"",""นราธิวาส!M299"")"),195740)</f>
        <v>195740</v>
      </c>
      <c r="O404" s="175">
        <f t="shared" ca="1" si="111"/>
        <v>100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IFERROR(__xludf.DUMMYFUNCTION("IMPORTRANGE(""https://docs.google.com/spreadsheets/d/1IYY_tgx_IHuhSq3AJ5eI5OnqOPBNLWSHKh2a30DoXe8/edit?usp=sharing"",""นราธิวาส!L300"")"),0)</f>
        <v>0</v>
      </c>
      <c r="M405" s="175"/>
      <c r="N405" s="175">
        <f ca="1">IFERROR(__xludf.DUMMYFUNCTION("IMPORTRANGE(""https://docs.google.com/spreadsheets/d/1IYY_tgx_IHuhSq3AJ5eI5OnqOPBNLWSHKh2a30DoXe8/edit?usp=sharing"",""นราธิวาส!M300"")"),0)</f>
        <v>0</v>
      </c>
      <c r="O405" s="175">
        <f t="shared" ca="1" si="111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IFERROR(__xludf.DUMMYFUNCTION("IMPORTRANGE(""https://docs.google.com/spreadsheets/d/1IYY_tgx_IHuhSq3AJ5eI5OnqOPBNLWSHKh2a30DoXe8/edit?usp=sharing"",""นราธิวาส!L301"")"),195740)</f>
        <v>195740</v>
      </c>
      <c r="M406" s="175"/>
      <c r="N406" s="175">
        <f ca="1">IFERROR(__xludf.DUMMYFUNCTION("IMPORTRANGE(""https://docs.google.com/spreadsheets/d/1IYY_tgx_IHuhSq3AJ5eI5OnqOPBNLWSHKh2a30DoXe8/edit?usp=sharing"",""นราธิวาส!M301"")"),195740)</f>
        <v>195740</v>
      </c>
      <c r="O406" s="175">
        <f t="shared" ca="1" si="111"/>
        <v>100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IFERROR(__xludf.DUMMYFUNCTION("IMPORTRANGE(""https://docs.google.com/spreadsheets/d/1IYY_tgx_IHuhSq3AJ5eI5OnqOPBNLWSHKh2a30DoXe8/edit?usp=sharing"",""นราธิวาส!M302"")"),111900)</f>
        <v>111900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IFERROR(__xludf.DUMMYFUNCTION("IMPORTRANGE(""https://docs.google.com/spreadsheets/d/1IYY_tgx_IHuhSq3AJ5eI5OnqOPBNLWSHKh2a30DoXe8/edit?usp=sharing"",""นราธิวาส!M303"")"),51500)</f>
        <v>51500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IFERROR(__xludf.DUMMYFUNCTION("IMPORTRANGE(""https://docs.google.com/spreadsheets/d/1IYY_tgx_IHuhSq3AJ5eI5OnqOPBNLWSHKh2a30DoXe8/edit?usp=sharing"",""นราธิวาส!M304"")"),0)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IFERROR(__xludf.DUMMYFUNCTION("IMPORTRANGE(""https://docs.google.com/spreadsheets/d/1IYY_tgx_IHuhSq3AJ5eI5OnqOPBNLWSHKh2a30DoXe8/edit?usp=sharing"",""นราธิวาส!M305"")"),32340)</f>
        <v>32340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IFERROR(__xludf.DUMMYFUNCTION("IMPORTRANGE(""https://docs.google.com/spreadsheets/d/1IYY_tgx_IHuhSq3AJ5eI5OnqOPBNLWSHKh2a30DoXe8/edit?usp=sharing"",""นราธิวาส!J307"")"),0)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IFERROR(__xludf.DUMMYFUNCTION("IMPORTRANGE(""https://docs.google.com/spreadsheets/d/1IYY_tgx_IHuhSq3AJ5eI5OnqOPBNLWSHKh2a30DoXe8/edit?usp=sharing"",""นราธิวาส!J308"")"),1)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IFERROR(__xludf.DUMMYFUNCTION("IMPORTRANGE(""https://docs.google.com/spreadsheets/d/1IYY_tgx_IHuhSq3AJ5eI5OnqOPBNLWSHKh2a30DoXe8/edit?usp=sharing"",""นราธิวาส!J309"")"),1)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IFERROR(__xludf.DUMMYFUNCTION("IMPORTRANGE(""https://docs.google.com/spreadsheets/d/1IYY_tgx_IHuhSq3AJ5eI5OnqOPBNLWSHKh2a30DoXe8/edit?usp=sharing"",""นราธิวาส!J310"")"),1)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IFERROR(__xludf.DUMMYFUNCTION("IMPORTRANGE(""https://docs.google.com/spreadsheets/d/1IYY_tgx_IHuhSq3AJ5eI5OnqOPBNLWSHKh2a30DoXe8/edit?usp=sharing"",""นราธิวาส!I311"")"),55)</f>
        <v>55</v>
      </c>
      <c r="J416" s="207">
        <f ca="1">IFERROR(__xludf.DUMMYFUNCTION("IMPORTRANGE(""https://docs.google.com/spreadsheets/d/1IYY_tgx_IHuhSq3AJ5eI5OnqOPBNLWSHKh2a30DoXe8/edit?usp=sharing"",""นราธิวาส!J311"")"),55)</f>
        <v>55</v>
      </c>
      <c r="K416" s="208">
        <f t="shared" ref="K416:K432" ca="1" si="112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IFERROR(__xludf.DUMMYFUNCTION("IMPORTRANGE(""https://docs.google.com/spreadsheets/d/1IYY_tgx_IHuhSq3AJ5eI5OnqOPBNLWSHKh2a30DoXe8/edit?usp=sharing"",""นราธิวาส!I312"")"),25)</f>
        <v>25</v>
      </c>
      <c r="J417" s="398">
        <f ca="1">IFERROR(__xludf.DUMMYFUNCTION("IMPORTRANGE(""https://docs.google.com/spreadsheets/d/1IYY_tgx_IHuhSq3AJ5eI5OnqOPBNLWSHKh2a30DoXe8/edit?usp=sharing"",""นราธิวาส!J312"")"),25)</f>
        <v>25</v>
      </c>
      <c r="K417" s="208">
        <f t="shared" ca="1" si="112"/>
        <v>100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IFERROR(__xludf.DUMMYFUNCTION("IMPORTRANGE(""https://docs.google.com/spreadsheets/d/1IYY_tgx_IHuhSq3AJ5eI5OnqOPBNLWSHKh2a30DoXe8/edit?usp=sharing"",""นราธิวาส!I313"")"),75)</f>
        <v>75</v>
      </c>
      <c r="J418" s="399">
        <f ca="1">IFERROR(__xludf.DUMMYFUNCTION("IMPORTRANGE(""https://docs.google.com/spreadsheets/d/1IYY_tgx_IHuhSq3AJ5eI5OnqOPBNLWSHKh2a30DoXe8/edit?usp=sharing"",""นราธิวาส!J313"")"),75)</f>
        <v>75</v>
      </c>
      <c r="K418" s="208">
        <f t="shared" ca="1" si="112"/>
        <v>100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IFERROR(__xludf.DUMMYFUNCTION("IMPORTRANGE(""https://docs.google.com/spreadsheets/d/1IYY_tgx_IHuhSq3AJ5eI5OnqOPBNLWSHKh2a30DoXe8/edit?usp=sharing"",""นราธิวาส!I314"")"),25)</f>
        <v>25</v>
      </c>
      <c r="J419" s="400">
        <f ca="1">IFERROR(__xludf.DUMMYFUNCTION("IMPORTRANGE(""https://docs.google.com/spreadsheets/d/1IYY_tgx_IHuhSq3AJ5eI5OnqOPBNLWSHKh2a30DoXe8/edit?usp=sharing"",""นราธิวาส!J314"")"),25)</f>
        <v>25</v>
      </c>
      <c r="K419" s="167">
        <f t="shared" ca="1" si="112"/>
        <v>100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IFERROR(__xludf.DUMMYFUNCTION("IMPORTRANGE(""https://docs.google.com/spreadsheets/d/1IYY_tgx_IHuhSq3AJ5eI5OnqOPBNLWSHKh2a30DoXe8/edit?usp=sharing"",""นราธิวาส!I315"")"),25)</f>
        <v>25</v>
      </c>
      <c r="J420" s="400">
        <f ca="1">IFERROR(__xludf.DUMMYFUNCTION("IMPORTRANGE(""https://docs.google.com/spreadsheets/d/1IYY_tgx_IHuhSq3AJ5eI5OnqOPBNLWSHKh2a30DoXe8/edit?usp=sharing"",""นราธิวาส!J315"")"),25)</f>
        <v>25</v>
      </c>
      <c r="K420" s="294">
        <f t="shared" ca="1" si="112"/>
        <v>100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IFERROR(__xludf.DUMMYFUNCTION("IMPORTRANGE(""https://docs.google.com/spreadsheets/d/1IYY_tgx_IHuhSq3AJ5eI5OnqOPBNLWSHKh2a30DoXe8/edit?usp=sharing"",""นราธิวาส!I316"")"),20)</f>
        <v>20</v>
      </c>
      <c r="J421" s="398">
        <f ca="1">IFERROR(__xludf.DUMMYFUNCTION("IMPORTRANGE(""https://docs.google.com/spreadsheets/d/1IYY_tgx_IHuhSq3AJ5eI5OnqOPBNLWSHKh2a30DoXe8/edit?usp=sharing"",""นราธิวาส!J316"")"),20)</f>
        <v>20</v>
      </c>
      <c r="K421" s="208">
        <f t="shared" ca="1" si="112"/>
        <v>100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IFERROR(__xludf.DUMMYFUNCTION("IMPORTRANGE(""https://docs.google.com/spreadsheets/d/1IYY_tgx_IHuhSq3AJ5eI5OnqOPBNLWSHKh2a30DoXe8/edit?usp=sharing"",""นราธิวาส!I317"")"),60)</f>
        <v>60</v>
      </c>
      <c r="J422" s="399">
        <f ca="1">IFERROR(__xludf.DUMMYFUNCTION("IMPORTRANGE(""https://docs.google.com/spreadsheets/d/1IYY_tgx_IHuhSq3AJ5eI5OnqOPBNLWSHKh2a30DoXe8/edit?usp=sharing"",""นราธิวาส!J317"")"),60)</f>
        <v>60</v>
      </c>
      <c r="K422" s="208">
        <f t="shared" ca="1" si="112"/>
        <v>100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IFERROR(__xludf.DUMMYFUNCTION("IMPORTRANGE(""https://docs.google.com/spreadsheets/d/1IYY_tgx_IHuhSq3AJ5eI5OnqOPBNLWSHKh2a30DoXe8/edit?usp=sharing"",""นราธิวาส!I318"")"),20)</f>
        <v>20</v>
      </c>
      <c r="J423" s="400">
        <f ca="1">IFERROR(__xludf.DUMMYFUNCTION("IMPORTRANGE(""https://docs.google.com/spreadsheets/d/1IYY_tgx_IHuhSq3AJ5eI5OnqOPBNLWSHKh2a30DoXe8/edit?usp=sharing"",""นราธิวาส!J318"")"),20)</f>
        <v>20</v>
      </c>
      <c r="K423" s="167">
        <f t="shared" ca="1" si="112"/>
        <v>100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IFERROR(__xludf.DUMMYFUNCTION("IMPORTRANGE(""https://docs.google.com/spreadsheets/d/1IYY_tgx_IHuhSq3AJ5eI5OnqOPBNLWSHKh2a30DoXe8/edit?usp=sharing"",""นราธิวาส!I319"")"),20)</f>
        <v>20</v>
      </c>
      <c r="J424" s="400">
        <f ca="1">IFERROR(__xludf.DUMMYFUNCTION("IMPORTRANGE(""https://docs.google.com/spreadsheets/d/1IYY_tgx_IHuhSq3AJ5eI5OnqOPBNLWSHKh2a30DoXe8/edit?usp=sharing"",""นราธิวาส!J319"")"),20)</f>
        <v>20</v>
      </c>
      <c r="K424" s="167">
        <f t="shared" ca="1" si="112"/>
        <v>100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IFERROR(__xludf.DUMMYFUNCTION("IMPORTRANGE(""https://docs.google.com/spreadsheets/d/1IYY_tgx_IHuhSq3AJ5eI5OnqOPBNLWSHKh2a30DoXe8/edit?usp=sharing"",""นราธิวาส!I320"")"),20)</f>
        <v>20</v>
      </c>
      <c r="J425" s="400">
        <f ca="1">IFERROR(__xludf.DUMMYFUNCTION("IMPORTRANGE(""https://docs.google.com/spreadsheets/d/1IYY_tgx_IHuhSq3AJ5eI5OnqOPBNLWSHKh2a30DoXe8/edit?usp=sharing"",""นราธิวาส!J320"")"),20)</f>
        <v>20</v>
      </c>
      <c r="K425" s="167">
        <f t="shared" ca="1" si="112"/>
        <v>100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IFERROR(__xludf.DUMMYFUNCTION("IMPORTRANGE(""https://docs.google.com/spreadsheets/d/1IYY_tgx_IHuhSq3AJ5eI5OnqOPBNLWSHKh2a30DoXe8/edit?usp=sharing"",""นราธิวาส!I321"")"),10)</f>
        <v>10</v>
      </c>
      <c r="J426" s="398">
        <f ca="1">IFERROR(__xludf.DUMMYFUNCTION("IMPORTRANGE(""https://docs.google.com/spreadsheets/d/1IYY_tgx_IHuhSq3AJ5eI5OnqOPBNLWSHKh2a30DoXe8/edit?usp=sharing"",""นราธิวาส!J321"")"),10)</f>
        <v>10</v>
      </c>
      <c r="K426" s="208">
        <f t="shared" ca="1" si="112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IFERROR(__xludf.DUMMYFUNCTION("IMPORTRANGE(""https://docs.google.com/spreadsheets/d/1IYY_tgx_IHuhSq3AJ5eI5OnqOPBNLWSHKh2a30DoXe8/edit?usp=sharing"",""นราธิวาส!I322"")"),30)</f>
        <v>30</v>
      </c>
      <c r="J427" s="399">
        <f ca="1">IFERROR(__xludf.DUMMYFUNCTION("IMPORTRANGE(""https://docs.google.com/spreadsheets/d/1IYY_tgx_IHuhSq3AJ5eI5OnqOPBNLWSHKh2a30DoXe8/edit?usp=sharing"",""นราธิวาส!J322"")"),30)</f>
        <v>30</v>
      </c>
      <c r="K427" s="208">
        <f t="shared" ca="1" si="112"/>
        <v>100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IFERROR(__xludf.DUMMYFUNCTION("IMPORTRANGE(""https://docs.google.com/spreadsheets/d/1IYY_tgx_IHuhSq3AJ5eI5OnqOPBNLWSHKh2a30DoXe8/edit?usp=sharing"",""นราธิวาส!I323"")"),10)</f>
        <v>10</v>
      </c>
      <c r="J428" s="400">
        <f ca="1">IFERROR(__xludf.DUMMYFUNCTION("IMPORTRANGE(""https://docs.google.com/spreadsheets/d/1IYY_tgx_IHuhSq3AJ5eI5OnqOPBNLWSHKh2a30DoXe8/edit?usp=sharing"",""นราธิวาส!J323"")"),10)</f>
        <v>10</v>
      </c>
      <c r="K428" s="167">
        <f t="shared" ca="1" si="112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IFERROR(__xludf.DUMMYFUNCTION("IMPORTRANGE(""https://docs.google.com/spreadsheets/d/1IYY_tgx_IHuhSq3AJ5eI5OnqOPBNLWSHKh2a30DoXe8/edit?usp=sharing"",""นราธิวาส!I324"")"),10)</f>
        <v>10</v>
      </c>
      <c r="J429" s="400">
        <f ca="1">IFERROR(__xludf.DUMMYFUNCTION("IMPORTRANGE(""https://docs.google.com/spreadsheets/d/1IYY_tgx_IHuhSq3AJ5eI5OnqOPBNLWSHKh2a30DoXe8/edit?usp=sharing"",""นราธิวาส!J324"")"),10)</f>
        <v>10</v>
      </c>
      <c r="K429" s="167">
        <f t="shared" ca="1" si="112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IFERROR(__xludf.DUMMYFUNCTION("IMPORTRANGE(""https://docs.google.com/spreadsheets/d/1IYY_tgx_IHuhSq3AJ5eI5OnqOPBNLWSHKh2a30DoXe8/edit?usp=sharing"",""นราธิวาส!I325"")"),45)</f>
        <v>45</v>
      </c>
      <c r="J430" s="398">
        <f ca="1">IFERROR(__xludf.DUMMYFUNCTION("IMPORTRANGE(""https://docs.google.com/spreadsheets/d/1IYY_tgx_IHuhSq3AJ5eI5OnqOPBNLWSHKh2a30DoXe8/edit?usp=sharing"",""นราธิวาส!J325"")"),45)</f>
        <v>45</v>
      </c>
      <c r="K430" s="208">
        <f t="shared" ca="1" si="112"/>
        <v>100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IFERROR(__xludf.DUMMYFUNCTION("IMPORTRANGE(""https://docs.google.com/spreadsheets/d/1IYY_tgx_IHuhSq3AJ5eI5OnqOPBNLWSHKh2a30DoXe8/edit?usp=sharing"",""นราธิวาส!I326"")"),25)</f>
        <v>25</v>
      </c>
      <c r="J431" s="400">
        <f ca="1">IFERROR(__xludf.DUMMYFUNCTION("IMPORTRANGE(""https://docs.google.com/spreadsheets/d/1IYY_tgx_IHuhSq3AJ5eI5OnqOPBNLWSHKh2a30DoXe8/edit?usp=sharing"",""นราธิวาส!J326"")"),25)</f>
        <v>25</v>
      </c>
      <c r="K431" s="167">
        <f t="shared" ca="1" si="112"/>
        <v>100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IFERROR(__xludf.DUMMYFUNCTION("IMPORTRANGE(""https://docs.google.com/spreadsheets/d/1IYY_tgx_IHuhSq3AJ5eI5OnqOPBNLWSHKh2a30DoXe8/edit?usp=sharing"",""นราธิวาส!I327"")"),20)</f>
        <v>20</v>
      </c>
      <c r="J432" s="400">
        <f ca="1">IFERROR(__xludf.DUMMYFUNCTION("IMPORTRANGE(""https://docs.google.com/spreadsheets/d/1IYY_tgx_IHuhSq3AJ5eI5OnqOPBNLWSHKh2a30DoXe8/edit?usp=sharing"",""นราธิวาส!J327"")"),20)</f>
        <v>20</v>
      </c>
      <c r="K432" s="167">
        <f t="shared" ca="1" si="112"/>
        <v>100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IFERROR(__xludf.DUMMYFUNCTION("IMPORTRANGE(""https://docs.google.com/spreadsheets/d/1IYY_tgx_IHuhSq3AJ5eI5OnqOPBNLWSHKh2a30DoXe8/edit?usp=sharing"",""นราธิวาส!J328"")"),0)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IFERROR(__xludf.DUMMYFUNCTION("IMPORTRANGE(""https://docs.google.com/spreadsheets/d/1IYY_tgx_IHuhSq3AJ5eI5OnqOPBNLWSHKh2a30DoXe8/edit?usp=sharing"",""นราธิวาส!J329"")"),0)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IFERROR(__xludf.DUMMYFUNCTION("IMPORTRANGE(""https://docs.google.com/spreadsheets/d/1IYY_tgx_IHuhSq3AJ5eI5OnqOPBNLWSHKh2a30DoXe8/edit?usp=sharing"",""นราธิวาส!I330"")"),10)</f>
        <v>10</v>
      </c>
      <c r="J435" s="416">
        <f ca="1">IFERROR(__xludf.DUMMYFUNCTION("IMPORTRANGE(""https://docs.google.com/spreadsheets/d/1IYY_tgx_IHuhSq3AJ5eI5OnqOPBNLWSHKh2a30DoXe8/edit?usp=sharing"",""นราธิวาส!J330"")"),10)</f>
        <v>10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IFERROR(__xludf.DUMMYFUNCTION("IMPORTRANGE(""https://docs.google.com/spreadsheets/d/1IYY_tgx_IHuhSq3AJ5eI5OnqOPBNLWSHKh2a30DoXe8/edit?usp=sharing"",""นราธิวาส!L330"")"),1012800)</f>
        <v>1012800</v>
      </c>
      <c r="M435" s="418"/>
      <c r="N435" s="418">
        <f ca="1">IFERROR(__xludf.DUMMYFUNCTION("IMPORTRANGE(""https://docs.google.com/spreadsheets/d/1IYY_tgx_IHuhSq3AJ5eI5OnqOPBNLWSHKh2a30DoXe8/edit?usp=sharing"",""นราธิวาส!M330"")"),1002203.45)</f>
        <v>1002203.45</v>
      </c>
      <c r="O435" s="418">
        <f t="shared" ref="O435:O439" ca="1" si="113">+IF(L435&gt;0,N435*100/L435,0)</f>
        <v>98.953737164296996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IFERROR(__xludf.DUMMYFUNCTION("IMPORTRANGE(""https://docs.google.com/spreadsheets/d/1IYY_tgx_IHuhSq3AJ5eI5OnqOPBNLWSHKh2a30DoXe8/edit?usp=sharing"",""นราธิวาส!L331"")"),0)</f>
        <v>0</v>
      </c>
      <c r="M436" s="168"/>
      <c r="N436" s="175">
        <f ca="1">IFERROR(__xludf.DUMMYFUNCTION("IMPORTRANGE(""https://docs.google.com/spreadsheets/d/1IYY_tgx_IHuhSq3AJ5eI5OnqOPBNLWSHKh2a30DoXe8/edit?usp=sharing"",""นราธิวาส!M331"")"),0)</f>
        <v>0</v>
      </c>
      <c r="O436" s="175">
        <f t="shared" ca="1" si="113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384" t="s">
        <v>270</v>
      </c>
      <c r="H437" s="165" t="s">
        <v>12</v>
      </c>
      <c r="I437" s="166"/>
      <c r="J437" s="166"/>
      <c r="K437" s="167"/>
      <c r="L437" s="571">
        <f ca="1">IFERROR(__xludf.DUMMYFUNCTION("IMPORTRANGE(""https://docs.google.com/spreadsheets/d/1IYY_tgx_IHuhSq3AJ5eI5OnqOPBNLWSHKh2a30DoXe8/edit?usp=sharing"",""นราธิวาส!L332"")"),1012800)</f>
        <v>1012800</v>
      </c>
      <c r="M437" s="169"/>
      <c r="N437" s="175">
        <f ca="1">IFERROR(__xludf.DUMMYFUNCTION("IMPORTRANGE(""https://docs.google.com/spreadsheets/d/1IYY_tgx_IHuhSq3AJ5eI5OnqOPBNLWSHKh2a30DoXe8/edit?usp=sharing"",""นราธิวาส!M332"")"),1002203.45)</f>
        <v>1002203.45</v>
      </c>
      <c r="O437" s="175">
        <f t="shared" ca="1" si="113"/>
        <v>98.953737164296996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IFERROR(__xludf.DUMMYFUNCTION("IMPORTRANGE(""https://docs.google.com/spreadsheets/d/1IYY_tgx_IHuhSq3AJ5eI5OnqOPBNLWSHKh2a30DoXe8/edit?usp=sharing"",""นราธิวาส!L333"")"),0)</f>
        <v>0</v>
      </c>
      <c r="M438" s="175"/>
      <c r="N438" s="175">
        <f ca="1">IFERROR(__xludf.DUMMYFUNCTION("IMPORTRANGE(""https://docs.google.com/spreadsheets/d/1IYY_tgx_IHuhSq3AJ5eI5OnqOPBNLWSHKh2a30DoXe8/edit?usp=sharing"",""นราธิวาส!M333"")"),0)</f>
        <v>0</v>
      </c>
      <c r="O438" s="175">
        <f t="shared" ca="1" si="113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IFERROR(__xludf.DUMMYFUNCTION("IMPORTRANGE(""https://docs.google.com/spreadsheets/d/1IYY_tgx_IHuhSq3AJ5eI5OnqOPBNLWSHKh2a30DoXe8/edit?usp=sharing"",""นราธิวาส!L334"")"),108800)</f>
        <v>108800</v>
      </c>
      <c r="M439" s="175"/>
      <c r="N439" s="175">
        <f ca="1">IFERROR(__xludf.DUMMYFUNCTION("IMPORTRANGE(""https://docs.google.com/spreadsheets/d/1IYY_tgx_IHuhSq3AJ5eI5OnqOPBNLWSHKh2a30DoXe8/edit?usp=sharing"",""นราธิวาส!M334"")"),98203.45)</f>
        <v>98203.45</v>
      </c>
      <c r="O439" s="175">
        <f t="shared" ca="1" si="113"/>
        <v>90.260523897058818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IFERROR(__xludf.DUMMYFUNCTION("IMPORTRANGE(""https://docs.google.com/spreadsheets/d/1IYY_tgx_IHuhSq3AJ5eI5OnqOPBNLWSHKh2a30DoXe8/edit?usp=sharing"",""นราธิวาส!M335"")"),20200)</f>
        <v>20200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IFERROR(__xludf.DUMMYFUNCTION("IMPORTRANGE(""https://docs.google.com/spreadsheets/d/1IYY_tgx_IHuhSq3AJ5eI5OnqOPBNLWSHKh2a30DoXe8/edit?usp=sharing"",""นราธิวาส!M336"")"),0)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IFERROR(__xludf.DUMMYFUNCTION("IMPORTRANGE(""https://docs.google.com/spreadsheets/d/1IYY_tgx_IHuhSq3AJ5eI5OnqOPBNLWSHKh2a30DoXe8/edit?usp=sharing"",""นราธิวาส!M337"")"),0)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IFERROR(__xludf.DUMMYFUNCTION("IMPORTRANGE(""https://docs.google.com/spreadsheets/d/1IYY_tgx_IHuhSq3AJ5eI5OnqOPBNLWSHKh2a30DoXe8/edit?usp=sharing"",""นราธิวาส!M338"")"),78003.45)</f>
        <v>78003.45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IFERROR(__xludf.DUMMYFUNCTION("IMPORTRANGE(""https://docs.google.com/spreadsheets/d/1IYY_tgx_IHuhSq3AJ5eI5OnqOPBNLWSHKh2a30DoXe8/edit?usp=sharing"",""นราธิวาส!J340"")"),0)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IFERROR(__xludf.DUMMYFUNCTION("IMPORTRANGE(""https://docs.google.com/spreadsheets/d/1IYY_tgx_IHuhSq3AJ5eI5OnqOPBNLWSHKh2a30DoXe8/edit?usp=sharing"",""นราธิวาส!J341"")"),1)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IFERROR(__xludf.DUMMYFUNCTION("IMPORTRANGE(""https://docs.google.com/spreadsheets/d/1IYY_tgx_IHuhSq3AJ5eI5OnqOPBNLWSHKh2a30DoXe8/edit?usp=sharing"",""นราธิวาส!J342"")"),1)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IFERROR(__xludf.DUMMYFUNCTION("IMPORTRANGE(""https://docs.google.com/spreadsheets/d/1IYY_tgx_IHuhSq3AJ5eI5OnqOPBNLWSHKh2a30DoXe8/edit?usp=sharing"",""นราธิวาส!J343"")"),1)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IFERROR(__xludf.DUMMYFUNCTION("IMPORTRANGE(""https://docs.google.com/spreadsheets/d/1IYY_tgx_IHuhSq3AJ5eI5OnqOPBNLWSHKh2a30DoXe8/edit?usp=sharing"",""นราธิวาส!I344"")"),10)</f>
        <v>10</v>
      </c>
      <c r="J449" s="207">
        <f ca="1">IFERROR(__xludf.DUMMYFUNCTION("IMPORTRANGE(""https://docs.google.com/spreadsheets/d/1IYY_tgx_IHuhSq3AJ5eI5OnqOPBNLWSHKh2a30DoXe8/edit?usp=sharing"",""นราธิวาส!J344"")"),10)</f>
        <v>10</v>
      </c>
      <c r="K449" s="167">
        <f t="shared" ref="K449:K452" ca="1" si="114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IFERROR(__xludf.DUMMYFUNCTION("IMPORTRANGE(""https://docs.google.com/spreadsheets/d/1IYY_tgx_IHuhSq3AJ5eI5OnqOPBNLWSHKh2a30DoXe8/edit?usp=sharing"",""นราธิวาส!I345"")"),10)</f>
        <v>10</v>
      </c>
      <c r="J450" s="195">
        <f ca="1">IFERROR(__xludf.DUMMYFUNCTION("IMPORTRANGE(""https://docs.google.com/spreadsheets/d/1IYY_tgx_IHuhSq3AJ5eI5OnqOPBNLWSHKh2a30DoXe8/edit?usp=sharing"",""นราธิวาส!J345"")"),10)</f>
        <v>10</v>
      </c>
      <c r="K450" s="167">
        <f t="shared" ca="1" si="114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IFERROR(__xludf.DUMMYFUNCTION("IMPORTRANGE(""https://docs.google.com/spreadsheets/d/1IYY_tgx_IHuhSq3AJ5eI5OnqOPBNLWSHKh2a30DoXe8/edit?usp=sharing"",""นราธิวาส!I346"")"),0)</f>
        <v>0</v>
      </c>
      <c r="J451" s="194">
        <f ca="1">IFERROR(__xludf.DUMMYFUNCTION("IMPORTRANGE(""https://docs.google.com/spreadsheets/d/1IYY_tgx_IHuhSq3AJ5eI5OnqOPBNLWSHKh2a30DoXe8/edit?usp=sharing"",""นราธิวาส!J346"")"),0)</f>
        <v>0</v>
      </c>
      <c r="K451" s="167">
        <f t="shared" ca="1" si="114"/>
        <v>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IFERROR(__xludf.DUMMYFUNCTION("IMPORTRANGE(""https://docs.google.com/spreadsheets/d/1IYY_tgx_IHuhSq3AJ5eI5OnqOPBNLWSHKh2a30DoXe8/edit?usp=sharing"",""นราธิวาส!I347"")"),0)</f>
        <v>0</v>
      </c>
      <c r="J452" s="194">
        <f ca="1">IFERROR(__xludf.DUMMYFUNCTION("IMPORTRANGE(""https://docs.google.com/spreadsheets/d/1IYY_tgx_IHuhSq3AJ5eI5OnqOPBNLWSHKh2a30DoXe8/edit?usp=sharing"",""นราธิวาส!J347"")"),0)</f>
        <v>0</v>
      </c>
      <c r="K452" s="167">
        <f t="shared" ca="1" si="114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IFERROR(__xludf.DUMMYFUNCTION("IMPORTRANGE(""https://docs.google.com/spreadsheets/d/1IYY_tgx_IHuhSq3AJ5eI5OnqOPBNLWSHKh2a30DoXe8/edit?usp=sharing"",""นราธิวาส!J348"")"),0)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IFERROR(__xludf.DUMMYFUNCTION("IMPORTRANGE(""https://docs.google.com/spreadsheets/d/1IYY_tgx_IHuhSq3AJ5eI5OnqOPBNLWSHKh2a30DoXe8/edit?usp=sharing"",""นราธิวาส!J349"")"),0)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IFERROR(__xludf.DUMMYFUNCTION("IMPORTRANGE(""https://docs.google.com/spreadsheets/d/1IYY_tgx_IHuhSq3AJ5eI5OnqOPBNLWSHKh2a30DoXe8/edit?usp=sharing"",""นราธิวาส!I350"")"),3019)</f>
        <v>3019</v>
      </c>
      <c r="J455" s="377">
        <f ca="1">IFERROR(__xludf.DUMMYFUNCTION("IMPORTRANGE(""https://docs.google.com/spreadsheets/d/1IYY_tgx_IHuhSq3AJ5eI5OnqOPBNLWSHKh2a30DoXe8/edit?usp=sharing"",""นราธิวาส!J350"")"),3020)</f>
        <v>3020</v>
      </c>
      <c r="K455" s="378">
        <f ca="1">IF(I455&gt;0,J455*100/I455,0)</f>
        <v>100.03312355084465</v>
      </c>
      <c r="L455" s="379">
        <f ca="1">IFERROR(__xludf.DUMMYFUNCTION("IMPORTRANGE(""https://docs.google.com/spreadsheets/d/1IYY_tgx_IHuhSq3AJ5eI5OnqOPBNLWSHKh2a30DoXe8/edit?usp=sharing"",""นราธิวาส!L350"")"),54258)</f>
        <v>54258</v>
      </c>
      <c r="M455" s="379"/>
      <c r="N455" s="379">
        <f ca="1">IFERROR(__xludf.DUMMYFUNCTION("IMPORTRANGE(""https://docs.google.com/spreadsheets/d/1IYY_tgx_IHuhSq3AJ5eI5OnqOPBNLWSHKh2a30DoXe8/edit?usp=sharing"",""นราธิวาส!M350"")"),54258)</f>
        <v>54258</v>
      </c>
      <c r="O455" s="379">
        <f t="shared" ref="O455:O459" ca="1" si="115">+IF(L455&gt;0,N455*100/L455,0)</f>
        <v>100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IFERROR(__xludf.DUMMYFUNCTION("IMPORTRANGE(""https://docs.google.com/spreadsheets/d/1IYY_tgx_IHuhSq3AJ5eI5OnqOPBNLWSHKh2a30DoXe8/edit?usp=sharing"",""นราธิวาส!L351"")"),0)</f>
        <v>0</v>
      </c>
      <c r="M456" s="168"/>
      <c r="N456" s="175">
        <f ca="1">IFERROR(__xludf.DUMMYFUNCTION("IMPORTRANGE(""https://docs.google.com/spreadsheets/d/1IYY_tgx_IHuhSq3AJ5eI5OnqOPBNLWSHKh2a30DoXe8/edit?usp=sharing"",""นราธิวาส!M351"")"),0)</f>
        <v>0</v>
      </c>
      <c r="O456" s="175">
        <f t="shared" ca="1" si="115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IFERROR(__xludf.DUMMYFUNCTION("IMPORTRANGE(""https://docs.google.com/spreadsheets/d/1IYY_tgx_IHuhSq3AJ5eI5OnqOPBNLWSHKh2a30DoXe8/edit?usp=sharing"",""นราธิวาส!L352"")"),54258)</f>
        <v>54258</v>
      </c>
      <c r="M457" s="169"/>
      <c r="N457" s="175">
        <f ca="1">IFERROR(__xludf.DUMMYFUNCTION("IMPORTRANGE(""https://docs.google.com/spreadsheets/d/1IYY_tgx_IHuhSq3AJ5eI5OnqOPBNLWSHKh2a30DoXe8/edit?usp=sharing"",""นราธิวาส!M352"")"),54258)</f>
        <v>54258</v>
      </c>
      <c r="O457" s="175">
        <f t="shared" ca="1" si="115"/>
        <v>100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IFERROR(__xludf.DUMMYFUNCTION("IMPORTRANGE(""https://docs.google.com/spreadsheets/d/1IYY_tgx_IHuhSq3AJ5eI5OnqOPBNLWSHKh2a30DoXe8/edit?usp=sharing"",""นราธิวาส!L353"")"),0)</f>
        <v>0</v>
      </c>
      <c r="M458" s="175"/>
      <c r="N458" s="175">
        <f ca="1">IFERROR(__xludf.DUMMYFUNCTION("IMPORTRANGE(""https://docs.google.com/spreadsheets/d/1IYY_tgx_IHuhSq3AJ5eI5OnqOPBNLWSHKh2a30DoXe8/edit?usp=sharing"",""นราธิวาส!M353"")"),0)</f>
        <v>0</v>
      </c>
      <c r="O458" s="175">
        <f t="shared" ca="1" si="115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IFERROR(__xludf.DUMMYFUNCTION("IMPORTRANGE(""https://docs.google.com/spreadsheets/d/1IYY_tgx_IHuhSq3AJ5eI5OnqOPBNLWSHKh2a30DoXe8/edit?usp=sharing"",""นราธิวาส!L354"")"),54258)</f>
        <v>54258</v>
      </c>
      <c r="M459" s="175"/>
      <c r="N459" s="175">
        <f ca="1">IFERROR(__xludf.DUMMYFUNCTION("IMPORTRANGE(""https://docs.google.com/spreadsheets/d/1IYY_tgx_IHuhSq3AJ5eI5OnqOPBNLWSHKh2a30DoXe8/edit?usp=sharing"",""นราธิวาส!M354"")"),54258)</f>
        <v>54258</v>
      </c>
      <c r="O459" s="175">
        <f t="shared" ca="1" si="115"/>
        <v>100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IFERROR(__xludf.DUMMYFUNCTION("IMPORTRANGE(""https://docs.google.com/spreadsheets/d/1IYY_tgx_IHuhSq3AJ5eI5OnqOPBNLWSHKh2a30DoXe8/edit?usp=sharing"",""นราธิวาส!M355"")"),0)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IFERROR(__xludf.DUMMYFUNCTION("IMPORTRANGE(""https://docs.google.com/spreadsheets/d/1IYY_tgx_IHuhSq3AJ5eI5OnqOPBNLWSHKh2a30DoXe8/edit?usp=sharing"",""นราธิวาส!M356"")"),0)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IFERROR(__xludf.DUMMYFUNCTION("IMPORTRANGE(""https://docs.google.com/spreadsheets/d/1IYY_tgx_IHuhSq3AJ5eI5OnqOPBNLWSHKh2a30DoXe8/edit?usp=sharing"",""นราธิวาส!M357"")"),0)</f>
        <v>0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IFERROR(__xludf.DUMMYFUNCTION("IMPORTRANGE(""https://docs.google.com/spreadsheets/d/1IYY_tgx_IHuhSq3AJ5eI5OnqOPBNLWSHKh2a30DoXe8/edit?usp=sharing"",""นราธิวาส!M358"")"),54258)</f>
        <v>54258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IFERROR(__xludf.DUMMYFUNCTION("IMPORTRANGE(""https://docs.google.com/spreadsheets/d/1IYY_tgx_IHuhSq3AJ5eI5OnqOPBNLWSHKh2a30DoXe8/edit?usp=sharing"",""นราธิวาส!I359"")"),3019)</f>
        <v>3019</v>
      </c>
      <c r="J464" s="273">
        <f ca="1">IFERROR(__xludf.DUMMYFUNCTION("IMPORTRANGE(""https://docs.google.com/spreadsheets/d/1IYY_tgx_IHuhSq3AJ5eI5OnqOPBNLWSHKh2a30DoXe8/edit?usp=sharing"",""นราธิวาส!J359"")"),3020)</f>
        <v>3020</v>
      </c>
      <c r="K464" s="274">
        <f t="shared" ref="K464:K515" ca="1" si="116">IF(I464&gt;0,J464*100/I464,0)</f>
        <v>100.03312355084465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IFERROR(__xludf.DUMMYFUNCTION("IMPORTRANGE(""https://docs.google.com/spreadsheets/d/1IYY_tgx_IHuhSq3AJ5eI5OnqOPBNLWSHKh2a30DoXe8/edit?usp=sharing"",""นราธิวาส!I360"")"),3019)</f>
        <v>3019</v>
      </c>
      <c r="J465" s="426">
        <f ca="1">IFERROR(__xludf.DUMMYFUNCTION("IMPORTRANGE(""https://docs.google.com/spreadsheets/d/1IYY_tgx_IHuhSq3AJ5eI5OnqOPBNLWSHKh2a30DoXe8/edit?usp=sharing"",""นราธิวาส!J360"")"),3020)</f>
        <v>3020</v>
      </c>
      <c r="K465" s="208">
        <f t="shared" ca="1" si="116"/>
        <v>100.03312355084465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IFERROR(__xludf.DUMMYFUNCTION("IMPORTRANGE(""https://docs.google.com/spreadsheets/d/1IYY_tgx_IHuhSq3AJ5eI5OnqOPBNLWSHKh2a30DoXe8/edit?usp=sharing"",""นราธิวาส!I361"")"),902)</f>
        <v>902</v>
      </c>
      <c r="J466" s="426">
        <f ca="1">IFERROR(__xludf.DUMMYFUNCTION("IMPORTRANGE(""https://docs.google.com/spreadsheets/d/1IYY_tgx_IHuhSq3AJ5eI5OnqOPBNLWSHKh2a30DoXe8/edit?usp=sharing"",""นราธิวาส!J361"")"),902)</f>
        <v>902</v>
      </c>
      <c r="K466" s="208">
        <f t="shared" ca="1" si="116"/>
        <v>100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IFERROR(__xludf.DUMMYFUNCTION("IMPORTRANGE(""https://docs.google.com/spreadsheets/d/1IYY_tgx_IHuhSq3AJ5eI5OnqOPBNLWSHKh2a30DoXe8/edit?usp=sharing"",""นราธิวาส!I362"")"),0)</f>
        <v>0</v>
      </c>
      <c r="J467" s="195">
        <f ca="1">IFERROR(__xludf.DUMMYFUNCTION("IMPORTRANGE(""https://docs.google.com/spreadsheets/d/1IYY_tgx_IHuhSq3AJ5eI5OnqOPBNLWSHKh2a30DoXe8/edit?usp=sharing"",""นราธิวาส!J362"")"),2999)</f>
        <v>2999</v>
      </c>
      <c r="K467" s="167">
        <f t="shared" ca="1" si="116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IFERROR(__xludf.DUMMYFUNCTION("IMPORTRANGE(""https://docs.google.com/spreadsheets/d/1IYY_tgx_IHuhSq3AJ5eI5OnqOPBNLWSHKh2a30DoXe8/edit?usp=sharing"",""นราธิวาส!I363"")"),0)</f>
        <v>0</v>
      </c>
      <c r="J468" s="195">
        <f ca="1">IFERROR(__xludf.DUMMYFUNCTION("IMPORTRANGE(""https://docs.google.com/spreadsheets/d/1IYY_tgx_IHuhSq3AJ5eI5OnqOPBNLWSHKh2a30DoXe8/edit?usp=sharing"",""นราธิวาส!J363"")"),894)</f>
        <v>894</v>
      </c>
      <c r="K468" s="167">
        <f t="shared" ca="1" si="116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IFERROR(__xludf.DUMMYFUNCTION("IMPORTRANGE(""https://docs.google.com/spreadsheets/d/1IYY_tgx_IHuhSq3AJ5eI5OnqOPBNLWSHKh2a30DoXe8/edit?usp=sharing"",""นราธิวาส!I364"")"),0)</f>
        <v>0</v>
      </c>
      <c r="J469" s="195">
        <f ca="1">IFERROR(__xludf.DUMMYFUNCTION("IMPORTRANGE(""https://docs.google.com/spreadsheets/d/1IYY_tgx_IHuhSq3AJ5eI5OnqOPBNLWSHKh2a30DoXe8/edit?usp=sharing"",""นราธิวาส!J364"")"),0)</f>
        <v>0</v>
      </c>
      <c r="K469" s="167">
        <f t="shared" ca="1" si="116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IFERROR(__xludf.DUMMYFUNCTION("IMPORTRANGE(""https://docs.google.com/spreadsheets/d/1IYY_tgx_IHuhSq3AJ5eI5OnqOPBNLWSHKh2a30DoXe8/edit?usp=sharing"",""นราธิวาส!I365"")"),0)</f>
        <v>0</v>
      </c>
      <c r="J470" s="195">
        <f ca="1">IFERROR(__xludf.DUMMYFUNCTION("IMPORTRANGE(""https://docs.google.com/spreadsheets/d/1IYY_tgx_IHuhSq3AJ5eI5OnqOPBNLWSHKh2a30DoXe8/edit?usp=sharing"",""นราธิวาส!J365"")"),0)</f>
        <v>0</v>
      </c>
      <c r="K470" s="167">
        <f t="shared" ca="1" si="116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IFERROR(__xludf.DUMMYFUNCTION("IMPORTRANGE(""https://docs.google.com/spreadsheets/d/1IYY_tgx_IHuhSq3AJ5eI5OnqOPBNLWSHKh2a30DoXe8/edit?usp=sharing"",""นราธิวาส!I366"")"),0)</f>
        <v>0</v>
      </c>
      <c r="J471" s="195">
        <f ca="1">IFERROR(__xludf.DUMMYFUNCTION("IMPORTRANGE(""https://docs.google.com/spreadsheets/d/1IYY_tgx_IHuhSq3AJ5eI5OnqOPBNLWSHKh2a30DoXe8/edit?usp=sharing"",""นราธิวาส!J366"")"),21)</f>
        <v>21</v>
      </c>
      <c r="K471" s="167">
        <f t="shared" ca="1" si="116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IFERROR(__xludf.DUMMYFUNCTION("IMPORTRANGE(""https://docs.google.com/spreadsheets/d/1IYY_tgx_IHuhSq3AJ5eI5OnqOPBNLWSHKh2a30DoXe8/edit?usp=sharing"",""นราธิวาส!I367"")"),0)</f>
        <v>0</v>
      </c>
      <c r="J472" s="195">
        <f ca="1">IFERROR(__xludf.DUMMYFUNCTION("IMPORTRANGE(""https://docs.google.com/spreadsheets/d/1IYY_tgx_IHuhSq3AJ5eI5OnqOPBNLWSHKh2a30DoXe8/edit?usp=sharing"",""นราธิวาส!J367"")"),8)</f>
        <v>8</v>
      </c>
      <c r="K472" s="167">
        <f t="shared" ca="1" si="116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IFERROR(__xludf.DUMMYFUNCTION("IMPORTRANGE(""https://docs.google.com/spreadsheets/d/1IYY_tgx_IHuhSq3AJ5eI5OnqOPBNLWSHKh2a30DoXe8/edit?usp=sharing"",""นราธิวาส!I368"")"),3019)</f>
        <v>3019</v>
      </c>
      <c r="J473" s="426">
        <f ca="1">IFERROR(__xludf.DUMMYFUNCTION("IMPORTRANGE(""https://docs.google.com/spreadsheets/d/1IYY_tgx_IHuhSq3AJ5eI5OnqOPBNLWSHKh2a30DoXe8/edit?usp=sharing"",""นราธิวาส!J368"")"),3020)</f>
        <v>3020</v>
      </c>
      <c r="K473" s="208">
        <f t="shared" ca="1" si="116"/>
        <v>100.03312355084465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IFERROR(__xludf.DUMMYFUNCTION("IMPORTRANGE(""https://docs.google.com/spreadsheets/d/1IYY_tgx_IHuhSq3AJ5eI5OnqOPBNLWSHKh2a30DoXe8/edit?usp=sharing"",""นราธิวาส!I369"")"),902)</f>
        <v>902</v>
      </c>
      <c r="J474" s="426">
        <f ca="1">IFERROR(__xludf.DUMMYFUNCTION("IMPORTRANGE(""https://docs.google.com/spreadsheets/d/1IYY_tgx_IHuhSq3AJ5eI5OnqOPBNLWSHKh2a30DoXe8/edit?usp=sharing"",""นราธิวาส!J369"")"),902)</f>
        <v>902</v>
      </c>
      <c r="K474" s="208">
        <f t="shared" ca="1" si="116"/>
        <v>100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IFERROR(__xludf.DUMMYFUNCTION("IMPORTRANGE(""https://docs.google.com/spreadsheets/d/1IYY_tgx_IHuhSq3AJ5eI5OnqOPBNLWSHKh2a30DoXe8/edit?usp=sharing"",""นราธิวาส!I370"")"),0)</f>
        <v>0</v>
      </c>
      <c r="J475" s="195">
        <f ca="1">IFERROR(__xludf.DUMMYFUNCTION("IMPORTRANGE(""https://docs.google.com/spreadsheets/d/1IYY_tgx_IHuhSq3AJ5eI5OnqOPBNLWSHKh2a30DoXe8/edit?usp=sharing"",""นราธิวาส!J370"")"),2999)</f>
        <v>2999</v>
      </c>
      <c r="K475" s="167">
        <f t="shared" ca="1" si="116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IFERROR(__xludf.DUMMYFUNCTION("IMPORTRANGE(""https://docs.google.com/spreadsheets/d/1IYY_tgx_IHuhSq3AJ5eI5OnqOPBNLWSHKh2a30DoXe8/edit?usp=sharing"",""นราธิวาส!I371"")"),0)</f>
        <v>0</v>
      </c>
      <c r="J476" s="195">
        <f ca="1">IFERROR(__xludf.DUMMYFUNCTION("IMPORTRANGE(""https://docs.google.com/spreadsheets/d/1IYY_tgx_IHuhSq3AJ5eI5OnqOPBNLWSHKh2a30DoXe8/edit?usp=sharing"",""นราธิวาส!J371"")"),894)</f>
        <v>894</v>
      </c>
      <c r="K476" s="167">
        <f t="shared" ca="1" si="116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IFERROR(__xludf.DUMMYFUNCTION("IMPORTRANGE(""https://docs.google.com/spreadsheets/d/1IYY_tgx_IHuhSq3AJ5eI5OnqOPBNLWSHKh2a30DoXe8/edit?usp=sharing"",""นราธิวาส!I372"")"),0)</f>
        <v>0</v>
      </c>
      <c r="J477" s="195">
        <f ca="1">IFERROR(__xludf.DUMMYFUNCTION("IMPORTRANGE(""https://docs.google.com/spreadsheets/d/1IYY_tgx_IHuhSq3AJ5eI5OnqOPBNLWSHKh2a30DoXe8/edit?usp=sharing"",""นราธิวาส!J372"")"),0)</f>
        <v>0</v>
      </c>
      <c r="K477" s="167">
        <f t="shared" ca="1" si="116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IFERROR(__xludf.DUMMYFUNCTION("IMPORTRANGE(""https://docs.google.com/spreadsheets/d/1IYY_tgx_IHuhSq3AJ5eI5OnqOPBNLWSHKh2a30DoXe8/edit?usp=sharing"",""นราธิวาส!I373"")"),0)</f>
        <v>0</v>
      </c>
      <c r="J478" s="195">
        <f ca="1">IFERROR(__xludf.DUMMYFUNCTION("IMPORTRANGE(""https://docs.google.com/spreadsheets/d/1IYY_tgx_IHuhSq3AJ5eI5OnqOPBNLWSHKh2a30DoXe8/edit?usp=sharing"",""นราธิวาส!J373"")"),0)</f>
        <v>0</v>
      </c>
      <c r="K478" s="167">
        <f t="shared" ca="1" si="116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IFERROR(__xludf.DUMMYFUNCTION("IMPORTRANGE(""https://docs.google.com/spreadsheets/d/1IYY_tgx_IHuhSq3AJ5eI5OnqOPBNLWSHKh2a30DoXe8/edit?usp=sharing"",""นราธิวาส!I374"")"),0)</f>
        <v>0</v>
      </c>
      <c r="J479" s="195">
        <f ca="1">IFERROR(__xludf.DUMMYFUNCTION("IMPORTRANGE(""https://docs.google.com/spreadsheets/d/1IYY_tgx_IHuhSq3AJ5eI5OnqOPBNLWSHKh2a30DoXe8/edit?usp=sharing"",""นราธิวาส!J374"")"),21)</f>
        <v>21</v>
      </c>
      <c r="K479" s="167">
        <f t="shared" ca="1" si="116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IFERROR(__xludf.DUMMYFUNCTION("IMPORTRANGE(""https://docs.google.com/spreadsheets/d/1IYY_tgx_IHuhSq3AJ5eI5OnqOPBNLWSHKh2a30DoXe8/edit?usp=sharing"",""นราธิวาส!I375"")"),0)</f>
        <v>0</v>
      </c>
      <c r="J480" s="195">
        <f ca="1">IFERROR(__xludf.DUMMYFUNCTION("IMPORTRANGE(""https://docs.google.com/spreadsheets/d/1IYY_tgx_IHuhSq3AJ5eI5OnqOPBNLWSHKh2a30DoXe8/edit?usp=sharing"",""นราธิวาส!J375"")"),8)</f>
        <v>8</v>
      </c>
      <c r="K480" s="167">
        <f t="shared" ca="1" si="116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IFERROR(__xludf.DUMMYFUNCTION("IMPORTRANGE(""https://docs.google.com/spreadsheets/d/1IYY_tgx_IHuhSq3AJ5eI5OnqOPBNLWSHKh2a30DoXe8/edit?usp=sharing"",""นราธิวาส!I376"")"),3019)</f>
        <v>3019</v>
      </c>
      <c r="J481" s="426">
        <f ca="1">IFERROR(__xludf.DUMMYFUNCTION("IMPORTRANGE(""https://docs.google.com/spreadsheets/d/1IYY_tgx_IHuhSq3AJ5eI5OnqOPBNLWSHKh2a30DoXe8/edit?usp=sharing"",""นราธิวาส!J376"")"),3020)</f>
        <v>3020</v>
      </c>
      <c r="K481" s="208">
        <f t="shared" ca="1" si="116"/>
        <v>100.03312355084465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IFERROR(__xludf.DUMMYFUNCTION("IMPORTRANGE(""https://docs.google.com/spreadsheets/d/1IYY_tgx_IHuhSq3AJ5eI5OnqOPBNLWSHKh2a30DoXe8/edit?usp=sharing"",""นราธิวาส!I377"")"),902)</f>
        <v>902</v>
      </c>
      <c r="J482" s="426">
        <f ca="1">IFERROR(__xludf.DUMMYFUNCTION("IMPORTRANGE(""https://docs.google.com/spreadsheets/d/1IYY_tgx_IHuhSq3AJ5eI5OnqOPBNLWSHKh2a30DoXe8/edit?usp=sharing"",""นราธิวาส!J377"")"),902)</f>
        <v>902</v>
      </c>
      <c r="K482" s="208">
        <f t="shared" ca="1" si="116"/>
        <v>100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IFERROR(__xludf.DUMMYFUNCTION("IMPORTRANGE(""https://docs.google.com/spreadsheets/d/1IYY_tgx_IHuhSq3AJ5eI5OnqOPBNLWSHKh2a30DoXe8/edit?usp=sharing"",""นราธิวาส!I378"")"),0)</f>
        <v>0</v>
      </c>
      <c r="J483" s="195">
        <f ca="1">IFERROR(__xludf.DUMMYFUNCTION("IMPORTRANGE(""https://docs.google.com/spreadsheets/d/1IYY_tgx_IHuhSq3AJ5eI5OnqOPBNLWSHKh2a30DoXe8/edit?usp=sharing"",""นราธิวาส!J378"")"),2999)</f>
        <v>2999</v>
      </c>
      <c r="K483" s="167">
        <f t="shared" ca="1" si="116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IFERROR(__xludf.DUMMYFUNCTION("IMPORTRANGE(""https://docs.google.com/spreadsheets/d/1IYY_tgx_IHuhSq3AJ5eI5OnqOPBNLWSHKh2a30DoXe8/edit?usp=sharing"",""นราธิวาส!I379"")"),0)</f>
        <v>0</v>
      </c>
      <c r="J484" s="195">
        <f ca="1">IFERROR(__xludf.DUMMYFUNCTION("IMPORTRANGE(""https://docs.google.com/spreadsheets/d/1IYY_tgx_IHuhSq3AJ5eI5OnqOPBNLWSHKh2a30DoXe8/edit?usp=sharing"",""นราธิวาส!J379"")"),894)</f>
        <v>894</v>
      </c>
      <c r="K484" s="167">
        <f t="shared" ca="1" si="116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IFERROR(__xludf.DUMMYFUNCTION("IMPORTRANGE(""https://docs.google.com/spreadsheets/d/1IYY_tgx_IHuhSq3AJ5eI5OnqOPBNLWSHKh2a30DoXe8/edit?usp=sharing"",""นราธิวาส!I380"")"),0)</f>
        <v>0</v>
      </c>
      <c r="J485" s="195">
        <f ca="1">IFERROR(__xludf.DUMMYFUNCTION("IMPORTRANGE(""https://docs.google.com/spreadsheets/d/1IYY_tgx_IHuhSq3AJ5eI5OnqOPBNLWSHKh2a30DoXe8/edit?usp=sharing"",""นราธิวาส!J380"")"),0)</f>
        <v>0</v>
      </c>
      <c r="K485" s="167">
        <f t="shared" ca="1" si="116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IFERROR(__xludf.DUMMYFUNCTION("IMPORTRANGE(""https://docs.google.com/spreadsheets/d/1IYY_tgx_IHuhSq3AJ5eI5OnqOPBNLWSHKh2a30DoXe8/edit?usp=sharing"",""นราธิวาส!I381"")"),0)</f>
        <v>0</v>
      </c>
      <c r="J486" s="195">
        <f ca="1">IFERROR(__xludf.DUMMYFUNCTION("IMPORTRANGE(""https://docs.google.com/spreadsheets/d/1IYY_tgx_IHuhSq3AJ5eI5OnqOPBNLWSHKh2a30DoXe8/edit?usp=sharing"",""นราธิวาส!J381"")"),0)</f>
        <v>0</v>
      </c>
      <c r="K486" s="167">
        <f t="shared" ca="1" si="116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IFERROR(__xludf.DUMMYFUNCTION("IMPORTRANGE(""https://docs.google.com/spreadsheets/d/1IYY_tgx_IHuhSq3AJ5eI5OnqOPBNLWSHKh2a30DoXe8/edit?usp=sharing"",""นราธิวาส!I382"")"),0)</f>
        <v>0</v>
      </c>
      <c r="J487" s="426">
        <f ca="1">IFERROR(__xludf.DUMMYFUNCTION("IMPORTRANGE(""https://docs.google.com/spreadsheets/d/1IYY_tgx_IHuhSq3AJ5eI5OnqOPBNLWSHKh2a30DoXe8/edit?usp=sharing"",""นราธิวาส!J382"")"),21)</f>
        <v>21</v>
      </c>
      <c r="K487" s="167">
        <f t="shared" ca="1" si="116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IFERROR(__xludf.DUMMYFUNCTION("IMPORTRANGE(""https://docs.google.com/spreadsheets/d/1IYY_tgx_IHuhSq3AJ5eI5OnqOPBNLWSHKh2a30DoXe8/edit?usp=sharing"",""นราธิวาส!I383"")"),0)</f>
        <v>0</v>
      </c>
      <c r="J488" s="426">
        <f ca="1">IFERROR(__xludf.DUMMYFUNCTION("IMPORTRANGE(""https://docs.google.com/spreadsheets/d/1IYY_tgx_IHuhSq3AJ5eI5OnqOPBNLWSHKh2a30DoXe8/edit?usp=sharing"",""นราธิวาส!J383"")"),8)</f>
        <v>8</v>
      </c>
      <c r="K488" s="167">
        <f t="shared" ca="1" si="116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IFERROR(__xludf.DUMMYFUNCTION("IMPORTRANGE(""https://docs.google.com/spreadsheets/d/1IYY_tgx_IHuhSq3AJ5eI5OnqOPBNLWSHKh2a30DoXe8/edit?usp=sharing"",""นราธิวาส!I384"")"),0)</f>
        <v>0</v>
      </c>
      <c r="J489" s="195">
        <f ca="1">IFERROR(__xludf.DUMMYFUNCTION("IMPORTRANGE(""https://docs.google.com/spreadsheets/d/1IYY_tgx_IHuhSq3AJ5eI5OnqOPBNLWSHKh2a30DoXe8/edit?usp=sharing"",""นราธิวาส!J384"")"),21)</f>
        <v>21</v>
      </c>
      <c r="K489" s="167">
        <f t="shared" ca="1" si="116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IFERROR(__xludf.DUMMYFUNCTION("IMPORTRANGE(""https://docs.google.com/spreadsheets/d/1IYY_tgx_IHuhSq3AJ5eI5OnqOPBNLWSHKh2a30DoXe8/edit?usp=sharing"",""นราธิวาส!I385"")"),0)</f>
        <v>0</v>
      </c>
      <c r="J490" s="195">
        <f ca="1">IFERROR(__xludf.DUMMYFUNCTION("IMPORTRANGE(""https://docs.google.com/spreadsheets/d/1IYY_tgx_IHuhSq3AJ5eI5OnqOPBNLWSHKh2a30DoXe8/edit?usp=sharing"",""นราธิวาส!J385"")"),8)</f>
        <v>8</v>
      </c>
      <c r="K490" s="167">
        <f t="shared" ca="1" si="116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IFERROR(__xludf.DUMMYFUNCTION("IMPORTRANGE(""https://docs.google.com/spreadsheets/d/1IYY_tgx_IHuhSq3AJ5eI5OnqOPBNLWSHKh2a30DoXe8/edit?usp=sharing"",""นราธิวาส!I386"")"),0)</f>
        <v>0</v>
      </c>
      <c r="J491" s="195">
        <f ca="1">IFERROR(__xludf.DUMMYFUNCTION("IMPORTRANGE(""https://docs.google.com/spreadsheets/d/1IYY_tgx_IHuhSq3AJ5eI5OnqOPBNLWSHKh2a30DoXe8/edit?usp=sharing"",""นราธิวาส!J386"")"),0)</f>
        <v>0</v>
      </c>
      <c r="K491" s="167">
        <f t="shared" ca="1" si="116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IFERROR(__xludf.DUMMYFUNCTION("IMPORTRANGE(""https://docs.google.com/spreadsheets/d/1IYY_tgx_IHuhSq3AJ5eI5OnqOPBNLWSHKh2a30DoXe8/edit?usp=sharing"",""นราธิวาส!I387"")"),0)</f>
        <v>0</v>
      </c>
      <c r="J492" s="195">
        <f ca="1">IFERROR(__xludf.DUMMYFUNCTION("IMPORTRANGE(""https://docs.google.com/spreadsheets/d/1IYY_tgx_IHuhSq3AJ5eI5OnqOPBNLWSHKh2a30DoXe8/edit?usp=sharing"",""นราธิวาส!J387"")"),0)</f>
        <v>0</v>
      </c>
      <c r="K492" s="167">
        <f t="shared" ca="1" si="116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IFERROR(__xludf.DUMMYFUNCTION("IMPORTRANGE(""https://docs.google.com/spreadsheets/d/1IYY_tgx_IHuhSq3AJ5eI5OnqOPBNLWSHKh2a30DoXe8/edit?usp=sharing"",""นราธิวาส!I388"")"),0)</f>
        <v>0</v>
      </c>
      <c r="J493" s="195">
        <f ca="1">IFERROR(__xludf.DUMMYFUNCTION("IMPORTRANGE(""https://docs.google.com/spreadsheets/d/1IYY_tgx_IHuhSq3AJ5eI5OnqOPBNLWSHKh2a30DoXe8/edit?usp=sharing"",""นราธิวาส!J388"")"),0)</f>
        <v>0</v>
      </c>
      <c r="K493" s="167">
        <f t="shared" ca="1" si="116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IFERROR(__xludf.DUMMYFUNCTION("IMPORTRANGE(""https://docs.google.com/spreadsheets/d/1IYY_tgx_IHuhSq3AJ5eI5OnqOPBNLWSHKh2a30DoXe8/edit?usp=sharing"",""นราธิวาส!I389"")"),0)</f>
        <v>0</v>
      </c>
      <c r="J494" s="442">
        <f ca="1">IFERROR(__xludf.DUMMYFUNCTION("IMPORTRANGE(""https://docs.google.com/spreadsheets/d/1IYY_tgx_IHuhSq3AJ5eI5OnqOPBNLWSHKh2a30DoXe8/edit?usp=sharing"",""นราธิวาส!J389"")"),0)</f>
        <v>0</v>
      </c>
      <c r="K494" s="294">
        <f t="shared" ca="1" si="116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IFERROR(__xludf.DUMMYFUNCTION("IMPORTRANGE(""https://docs.google.com/spreadsheets/d/1IYY_tgx_IHuhSq3AJ5eI5OnqOPBNLWSHKh2a30DoXe8/edit?usp=sharing"",""นราธิวาส!I390"")"),0)</f>
        <v>0</v>
      </c>
      <c r="J495" s="442">
        <f ca="1">IFERROR(__xludf.DUMMYFUNCTION("IMPORTRANGE(""https://docs.google.com/spreadsheets/d/1IYY_tgx_IHuhSq3AJ5eI5OnqOPBNLWSHKh2a30DoXe8/edit?usp=sharing"",""นราธิวาส!J390"")"),0)</f>
        <v>0</v>
      </c>
      <c r="K495" s="167">
        <f t="shared" ca="1" si="116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IFERROR(__xludf.DUMMYFUNCTION("IMPORTRANGE(""https://docs.google.com/spreadsheets/d/1IYY_tgx_IHuhSq3AJ5eI5OnqOPBNLWSHKh2a30DoXe8/edit?usp=sharing"",""นราธิวาส!I391"")"),0)</f>
        <v>0</v>
      </c>
      <c r="J496" s="442">
        <f ca="1">IFERROR(__xludf.DUMMYFUNCTION("IMPORTRANGE(""https://docs.google.com/spreadsheets/d/1IYY_tgx_IHuhSq3AJ5eI5OnqOPBNLWSHKh2a30DoXe8/edit?usp=sharing"",""นราธิวาส!J391"")"),0)</f>
        <v>0</v>
      </c>
      <c r="K496" s="294">
        <f t="shared" ca="1" si="116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IFERROR(__xludf.DUMMYFUNCTION("IMPORTRANGE(""https://docs.google.com/spreadsheets/d/1IYY_tgx_IHuhSq3AJ5eI5OnqOPBNLWSHKh2a30DoXe8/edit?usp=sharing"",""นราธิวาส!I392"")"),0)</f>
        <v>0</v>
      </c>
      <c r="J497" s="449">
        <f ca="1">IFERROR(__xludf.DUMMYFUNCTION("IMPORTRANGE(""https://docs.google.com/spreadsheets/d/1IYY_tgx_IHuhSq3AJ5eI5OnqOPBNLWSHKh2a30DoXe8/edit?usp=sharing"",""นราธิวาส!J392"")"),0)</f>
        <v>0</v>
      </c>
      <c r="K497" s="450">
        <f t="shared" ca="1" si="116"/>
        <v>0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IFERROR(__xludf.DUMMYFUNCTION("IMPORTRANGE(""https://docs.google.com/spreadsheets/d/1IYY_tgx_IHuhSq3AJ5eI5OnqOPBNLWSHKh2a30DoXe8/edit?usp=sharing"",""นราธิวาส!I393"")"),0)</f>
        <v>0</v>
      </c>
      <c r="J498" s="426">
        <f ca="1">IFERROR(__xludf.DUMMYFUNCTION("IMPORTRANGE(""https://docs.google.com/spreadsheets/d/1IYY_tgx_IHuhSq3AJ5eI5OnqOPBNLWSHKh2a30DoXe8/edit?usp=sharing"",""นราธิวาส!J393"")"),0)</f>
        <v>0</v>
      </c>
      <c r="K498" s="167">
        <f t="shared" ca="1" si="116"/>
        <v>0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IFERROR(__xludf.DUMMYFUNCTION("IMPORTRANGE(""https://docs.google.com/spreadsheets/d/1IYY_tgx_IHuhSq3AJ5eI5OnqOPBNLWSHKh2a30DoXe8/edit?usp=sharing"",""นราธิวาส!I394"")"),0)</f>
        <v>0</v>
      </c>
      <c r="J499" s="426">
        <f ca="1">IFERROR(__xludf.DUMMYFUNCTION("IMPORTRANGE(""https://docs.google.com/spreadsheets/d/1IYY_tgx_IHuhSq3AJ5eI5OnqOPBNLWSHKh2a30DoXe8/edit?usp=sharing"",""นราธิวาส!J394"")"),0)</f>
        <v>0</v>
      </c>
      <c r="K499" s="208">
        <f t="shared" ca="1" si="116"/>
        <v>0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IFERROR(__xludf.DUMMYFUNCTION("IMPORTRANGE(""https://docs.google.com/spreadsheets/d/1IYY_tgx_IHuhSq3AJ5eI5OnqOPBNLWSHKh2a30DoXe8/edit?usp=sharing"",""นราธิวาส!I395"")"),0)</f>
        <v>0</v>
      </c>
      <c r="J500" s="166">
        <f ca="1">IFERROR(__xludf.DUMMYFUNCTION("IMPORTRANGE(""https://docs.google.com/spreadsheets/d/1IYY_tgx_IHuhSq3AJ5eI5OnqOPBNLWSHKh2a30DoXe8/edit?usp=sharing"",""นราธิวาส!J395"")"),0)</f>
        <v>0</v>
      </c>
      <c r="K500" s="167">
        <f t="shared" ca="1" si="116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IFERROR(__xludf.DUMMYFUNCTION("IMPORTRANGE(""https://docs.google.com/spreadsheets/d/1IYY_tgx_IHuhSq3AJ5eI5OnqOPBNLWSHKh2a30DoXe8/edit?usp=sharing"",""นราธิวาส!I396"")"),0)</f>
        <v>0</v>
      </c>
      <c r="J501" s="166">
        <f ca="1">IFERROR(__xludf.DUMMYFUNCTION("IMPORTRANGE(""https://docs.google.com/spreadsheets/d/1IYY_tgx_IHuhSq3AJ5eI5OnqOPBNLWSHKh2a30DoXe8/edit?usp=sharing"",""นราธิวาส!J396"")"),0)</f>
        <v>0</v>
      </c>
      <c r="K501" s="167">
        <f t="shared" ca="1" si="116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IFERROR(__xludf.DUMMYFUNCTION("IMPORTRANGE(""https://docs.google.com/spreadsheets/d/1IYY_tgx_IHuhSq3AJ5eI5OnqOPBNLWSHKh2a30DoXe8/edit?usp=sharing"",""นราธิวาส!I397"")"),0)</f>
        <v>0</v>
      </c>
      <c r="J502" s="195">
        <f ca="1">IFERROR(__xludf.DUMMYFUNCTION("IMPORTRANGE(""https://docs.google.com/spreadsheets/d/1IYY_tgx_IHuhSq3AJ5eI5OnqOPBNLWSHKh2a30DoXe8/edit?usp=sharing"",""นราธิวาส!J397"")"),0)</f>
        <v>0</v>
      </c>
      <c r="K502" s="167">
        <f t="shared" ca="1" si="116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IFERROR(__xludf.DUMMYFUNCTION("IMPORTRANGE(""https://docs.google.com/spreadsheets/d/1IYY_tgx_IHuhSq3AJ5eI5OnqOPBNLWSHKh2a30DoXe8/edit?usp=sharing"",""นราธิวาส!I398"")"),0)</f>
        <v>0</v>
      </c>
      <c r="J503" s="204">
        <f ca="1">IFERROR(__xludf.DUMMYFUNCTION("IMPORTRANGE(""https://docs.google.com/spreadsheets/d/1IYY_tgx_IHuhSq3AJ5eI5OnqOPBNLWSHKh2a30DoXe8/edit?usp=sharing"",""นราธิวาส!J398"")"),0)</f>
        <v>0</v>
      </c>
      <c r="K503" s="167">
        <f t="shared" ca="1" si="116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IFERROR(__xludf.DUMMYFUNCTION("IMPORTRANGE(""https://docs.google.com/spreadsheets/d/1IYY_tgx_IHuhSq3AJ5eI5OnqOPBNLWSHKh2a30DoXe8/edit?usp=sharing"",""นราธิวาส!I399"")"),0)</f>
        <v>0</v>
      </c>
      <c r="J504" s="195">
        <f ca="1">IFERROR(__xludf.DUMMYFUNCTION("IMPORTRANGE(""https://docs.google.com/spreadsheets/d/1IYY_tgx_IHuhSq3AJ5eI5OnqOPBNLWSHKh2a30DoXe8/edit?usp=sharing"",""นราธิวาส!J399"")"),0)</f>
        <v>0</v>
      </c>
      <c r="K504" s="167">
        <f t="shared" ca="1" si="116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IFERROR(__xludf.DUMMYFUNCTION("IMPORTRANGE(""https://docs.google.com/spreadsheets/d/1IYY_tgx_IHuhSq3AJ5eI5OnqOPBNLWSHKh2a30DoXe8/edit?usp=sharing"",""นราธิวาส!I400"")"),0)</f>
        <v>0</v>
      </c>
      <c r="J505" s="204">
        <f ca="1">IFERROR(__xludf.DUMMYFUNCTION("IMPORTRANGE(""https://docs.google.com/spreadsheets/d/1IYY_tgx_IHuhSq3AJ5eI5OnqOPBNLWSHKh2a30DoXe8/edit?usp=sharing"",""นราธิวาส!J400"")"),0)</f>
        <v>0</v>
      </c>
      <c r="K505" s="167">
        <f t="shared" ca="1" si="116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IFERROR(__xludf.DUMMYFUNCTION("IMPORTRANGE(""https://docs.google.com/spreadsheets/d/1IYY_tgx_IHuhSq3AJ5eI5OnqOPBNLWSHKh2a30DoXe8/edit?usp=sharing"",""นราธิวาส!I401"")"),0)</f>
        <v>0</v>
      </c>
      <c r="J506" s="195">
        <f ca="1">IFERROR(__xludf.DUMMYFUNCTION("IMPORTRANGE(""https://docs.google.com/spreadsheets/d/1IYY_tgx_IHuhSq3AJ5eI5OnqOPBNLWSHKh2a30DoXe8/edit?usp=sharing"",""นราธิวาส!J401"")"),0)</f>
        <v>0</v>
      </c>
      <c r="K506" s="167">
        <f t="shared" ca="1" si="116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IFERROR(__xludf.DUMMYFUNCTION("IMPORTRANGE(""https://docs.google.com/spreadsheets/d/1IYY_tgx_IHuhSq3AJ5eI5OnqOPBNLWSHKh2a30DoXe8/edit?usp=sharing"",""นราธิวาส!I402"")"),0)</f>
        <v>0</v>
      </c>
      <c r="J507" s="204">
        <f ca="1">IFERROR(__xludf.DUMMYFUNCTION("IMPORTRANGE(""https://docs.google.com/spreadsheets/d/1IYY_tgx_IHuhSq3AJ5eI5OnqOPBNLWSHKh2a30DoXe8/edit?usp=sharing"",""นราธิวาส!J402"")"),0)</f>
        <v>0</v>
      </c>
      <c r="K507" s="167">
        <f t="shared" ca="1" si="116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IFERROR(__xludf.DUMMYFUNCTION("IMPORTRANGE(""https://docs.google.com/spreadsheets/d/1IYY_tgx_IHuhSq3AJ5eI5OnqOPBNLWSHKh2a30DoXe8/edit?usp=sharing"",""นราธิวาส!I403"")"),0)</f>
        <v>0</v>
      </c>
      <c r="J508" s="166">
        <f ca="1">IFERROR(__xludf.DUMMYFUNCTION("IMPORTRANGE(""https://docs.google.com/spreadsheets/d/1IYY_tgx_IHuhSq3AJ5eI5OnqOPBNLWSHKh2a30DoXe8/edit?usp=sharing"",""นราธิวาส!J403"")"),0)</f>
        <v>0</v>
      </c>
      <c r="K508" s="167">
        <f t="shared" ca="1" si="116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IFERROR(__xludf.DUMMYFUNCTION("IMPORTRANGE(""https://docs.google.com/spreadsheets/d/1IYY_tgx_IHuhSq3AJ5eI5OnqOPBNLWSHKh2a30DoXe8/edit?usp=sharing"",""นราธิวาส!I404"")"),0)</f>
        <v>0</v>
      </c>
      <c r="J509" s="166">
        <f ca="1">IFERROR(__xludf.DUMMYFUNCTION("IMPORTRANGE(""https://docs.google.com/spreadsheets/d/1IYY_tgx_IHuhSq3AJ5eI5OnqOPBNLWSHKh2a30DoXe8/edit?usp=sharing"",""นราธิวาส!J404"")"),0)</f>
        <v>0</v>
      </c>
      <c r="K509" s="167">
        <f t="shared" ca="1" si="116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IFERROR(__xludf.DUMMYFUNCTION("IMPORTRANGE(""https://docs.google.com/spreadsheets/d/1IYY_tgx_IHuhSq3AJ5eI5OnqOPBNLWSHKh2a30DoXe8/edit?usp=sharing"",""นราธิวาส!I405"")"),0)</f>
        <v>0</v>
      </c>
      <c r="J510" s="204">
        <f ca="1">IFERROR(__xludf.DUMMYFUNCTION("IMPORTRANGE(""https://docs.google.com/spreadsheets/d/1IYY_tgx_IHuhSq3AJ5eI5OnqOPBNLWSHKh2a30DoXe8/edit?usp=sharing"",""นราธิวาส!J405"")"),0)</f>
        <v>0</v>
      </c>
      <c r="K510" s="167">
        <f t="shared" ca="1" si="116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IFERROR(__xludf.DUMMYFUNCTION("IMPORTRANGE(""https://docs.google.com/spreadsheets/d/1IYY_tgx_IHuhSq3AJ5eI5OnqOPBNLWSHKh2a30DoXe8/edit?usp=sharing"",""นราธิวาส!I406"")"),0)</f>
        <v>0</v>
      </c>
      <c r="J511" s="204">
        <f ca="1">IFERROR(__xludf.DUMMYFUNCTION("IMPORTRANGE(""https://docs.google.com/spreadsheets/d/1IYY_tgx_IHuhSq3AJ5eI5OnqOPBNLWSHKh2a30DoXe8/edit?usp=sharing"",""นราธิวาส!J406"")"),0)</f>
        <v>0</v>
      </c>
      <c r="K511" s="167">
        <f t="shared" ca="1" si="116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IFERROR(__xludf.DUMMYFUNCTION("IMPORTRANGE(""https://docs.google.com/spreadsheets/d/1IYY_tgx_IHuhSq3AJ5eI5OnqOPBNLWSHKh2a30DoXe8/edit?usp=sharing"",""นราธิวาส!I407"")"),0)</f>
        <v>0</v>
      </c>
      <c r="J512" s="204">
        <f ca="1">IFERROR(__xludf.DUMMYFUNCTION("IMPORTRANGE(""https://docs.google.com/spreadsheets/d/1IYY_tgx_IHuhSq3AJ5eI5OnqOPBNLWSHKh2a30DoXe8/edit?usp=sharing"",""นราธิวาส!J407"")"),0)</f>
        <v>0</v>
      </c>
      <c r="K512" s="167">
        <f t="shared" ca="1" si="116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IFERROR(__xludf.DUMMYFUNCTION("IMPORTRANGE(""https://docs.google.com/spreadsheets/d/1IYY_tgx_IHuhSq3AJ5eI5OnqOPBNLWSHKh2a30DoXe8/edit?usp=sharing"",""นราธิวาส!I408"")"),0)</f>
        <v>0</v>
      </c>
      <c r="J513" s="204">
        <f ca="1">IFERROR(__xludf.DUMMYFUNCTION("IMPORTRANGE(""https://docs.google.com/spreadsheets/d/1IYY_tgx_IHuhSq3AJ5eI5OnqOPBNLWSHKh2a30DoXe8/edit?usp=sharing"",""นราธิวาส!J408"")"),0)</f>
        <v>0</v>
      </c>
      <c r="K513" s="167">
        <f t="shared" ca="1" si="116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IFERROR(__xludf.DUMMYFUNCTION("IMPORTRANGE(""https://docs.google.com/spreadsheets/d/1IYY_tgx_IHuhSq3AJ5eI5OnqOPBNLWSHKh2a30DoXe8/edit?usp=sharing"",""นราธิวาส!I409"")"),0)</f>
        <v>0</v>
      </c>
      <c r="J514" s="204">
        <f ca="1">IFERROR(__xludf.DUMMYFUNCTION("IMPORTRANGE(""https://docs.google.com/spreadsheets/d/1IYY_tgx_IHuhSq3AJ5eI5OnqOPBNLWSHKh2a30DoXe8/edit?usp=sharing"",""นราธิวาส!J409"")"),0)</f>
        <v>0</v>
      </c>
      <c r="K514" s="167">
        <f t="shared" ca="1" si="116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IFERROR(__xludf.DUMMYFUNCTION("IMPORTRANGE(""https://docs.google.com/spreadsheets/d/1IYY_tgx_IHuhSq3AJ5eI5OnqOPBNLWSHKh2a30DoXe8/edit?usp=sharing"",""นราธิวาส!I410"")"),0)</f>
        <v>0</v>
      </c>
      <c r="J515" s="204">
        <f ca="1">IFERROR(__xludf.DUMMYFUNCTION("IMPORTRANGE(""https://docs.google.com/spreadsheets/d/1IYY_tgx_IHuhSq3AJ5eI5OnqOPBNLWSHKh2a30DoXe8/edit?usp=sharing"",""นราธิวาส!J410"")"),0)</f>
        <v>0</v>
      </c>
      <c r="K515" s="167">
        <f t="shared" ca="1" si="116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IFERROR(__xludf.DUMMYFUNCTION("IMPORTRANGE(""https://docs.google.com/spreadsheets/d/1IYY_tgx_IHuhSq3AJ5eI5OnqOPBNLWSHKh2a30DoXe8/edit?usp=sharing"",""นราธิวาส!I411"")"),0)</f>
        <v>0</v>
      </c>
      <c r="J516" s="273">
        <f ca="1">IFERROR(__xludf.DUMMYFUNCTION("IMPORTRANGE(""https://docs.google.com/spreadsheets/d/1IYY_tgx_IHuhSq3AJ5eI5OnqOPBNLWSHKh2a30DoXe8/edit?usp=sharing"",""นราธิวาส!J411"")"),0)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IFERROR(__xludf.DUMMYFUNCTION("IMPORTRANGE(""https://docs.google.com/spreadsheets/d/1IYY_tgx_IHuhSq3AJ5eI5OnqOPBNLWSHKh2a30DoXe8/edit?usp=sharing"",""นราธิวาส!I412"")"),0)</f>
        <v>0</v>
      </c>
      <c r="J517" s="290">
        <f ca="1">IFERROR(__xludf.DUMMYFUNCTION("IMPORTRANGE(""https://docs.google.com/spreadsheets/d/1IYY_tgx_IHuhSq3AJ5eI5OnqOPBNLWSHKh2a30DoXe8/edit?usp=sharing"",""นราธิวาส!J412"")"),0)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IFERROR(__xludf.DUMMYFUNCTION("IMPORTRANGE(""https://docs.google.com/spreadsheets/d/1IYY_tgx_IHuhSq3AJ5eI5OnqOPBNLWSHKh2a30DoXe8/edit?usp=sharing"",""นราธิวาส!I413"")"),0)</f>
        <v>0</v>
      </c>
      <c r="J518" s="290">
        <f ca="1">IFERROR(__xludf.DUMMYFUNCTION("IMPORTRANGE(""https://docs.google.com/spreadsheets/d/1IYY_tgx_IHuhSq3AJ5eI5OnqOPBNLWSHKh2a30DoXe8/edit?usp=sharing"",""นราธิวาส!J413"")"),0)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IFERROR(__xludf.DUMMYFUNCTION("IMPORTRANGE(""https://docs.google.com/spreadsheets/d/1IYY_tgx_IHuhSq3AJ5eI5OnqOPBNLWSHKh2a30DoXe8/edit?usp=sharing"",""นราธิวาส!I414"")"),0)</f>
        <v>0</v>
      </c>
      <c r="J519" s="194">
        <f ca="1">IFERROR(__xludf.DUMMYFUNCTION("IMPORTRANGE(""https://docs.google.com/spreadsheets/d/1IYY_tgx_IHuhSq3AJ5eI5OnqOPBNLWSHKh2a30DoXe8/edit?usp=sharing"",""นราธิวาส!J414"")"),0)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IFERROR(__xludf.DUMMYFUNCTION("IMPORTRANGE(""https://docs.google.com/spreadsheets/d/1IYY_tgx_IHuhSq3AJ5eI5OnqOPBNLWSHKh2a30DoXe8/edit?usp=sharing"",""นราธิวาส!I415"")"),0)</f>
        <v>0</v>
      </c>
      <c r="J520" s="194">
        <f ca="1">IFERROR(__xludf.DUMMYFUNCTION("IMPORTRANGE(""https://docs.google.com/spreadsheets/d/1IYY_tgx_IHuhSq3AJ5eI5OnqOPBNLWSHKh2a30DoXe8/edit?usp=sharing"",""นราธิวาส!J415"")"),0)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IFERROR(__xludf.DUMMYFUNCTION("IMPORTRANGE(""https://docs.google.com/spreadsheets/d/1IYY_tgx_IHuhSq3AJ5eI5OnqOPBNLWSHKh2a30DoXe8/edit?usp=sharing"",""นราธิวาส!I416"")"),0)</f>
        <v>0</v>
      </c>
      <c r="J521" s="194">
        <f ca="1">IFERROR(__xludf.DUMMYFUNCTION("IMPORTRANGE(""https://docs.google.com/spreadsheets/d/1IYY_tgx_IHuhSq3AJ5eI5OnqOPBNLWSHKh2a30DoXe8/edit?usp=sharing"",""นราธิวาส!J416"")"),0)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IFERROR(__xludf.DUMMYFUNCTION("IMPORTRANGE(""https://docs.google.com/spreadsheets/d/1IYY_tgx_IHuhSq3AJ5eI5OnqOPBNLWSHKh2a30DoXe8/edit?usp=sharing"",""นราธิวาส!I417"")"),0)</f>
        <v>0</v>
      </c>
      <c r="J522" s="194">
        <f ca="1">IFERROR(__xludf.DUMMYFUNCTION("IMPORTRANGE(""https://docs.google.com/spreadsheets/d/1IYY_tgx_IHuhSq3AJ5eI5OnqOPBNLWSHKh2a30DoXe8/edit?usp=sharing"",""นราธิวาส!J417"")"),0)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IFERROR(__xludf.DUMMYFUNCTION("IMPORTRANGE(""https://docs.google.com/spreadsheets/d/1IYY_tgx_IHuhSq3AJ5eI5OnqOPBNLWSHKh2a30DoXe8/edit?usp=sharing"",""นราธิวาส!I418"")"),0)</f>
        <v>0</v>
      </c>
      <c r="J523" s="194">
        <f ca="1">IFERROR(__xludf.DUMMYFUNCTION("IMPORTRANGE(""https://docs.google.com/spreadsheets/d/1IYY_tgx_IHuhSq3AJ5eI5OnqOPBNLWSHKh2a30DoXe8/edit?usp=sharing"",""นราธิวาส!J418"")"),0)</f>
        <v>0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IFERROR(__xludf.DUMMYFUNCTION("IMPORTRANGE(""https://docs.google.com/spreadsheets/d/1IYY_tgx_IHuhSq3AJ5eI5OnqOPBNLWSHKh2a30DoXe8/edit?usp=sharing"",""นราธิวาส!I419"")"),0)</f>
        <v>0</v>
      </c>
      <c r="J524" s="194">
        <f ca="1">IFERROR(__xludf.DUMMYFUNCTION("IMPORTRANGE(""https://docs.google.com/spreadsheets/d/1IYY_tgx_IHuhSq3AJ5eI5OnqOPBNLWSHKh2a30DoXe8/edit?usp=sharing"",""นราธิวาส!J419"")"),0)</f>
        <v>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IFERROR(__xludf.DUMMYFUNCTION("IMPORTRANGE(""https://docs.google.com/spreadsheets/d/1IYY_tgx_IHuhSq3AJ5eI5OnqOPBNLWSHKh2a30DoXe8/edit?usp=sharing"",""นราธิวาส!I420"")"),0)</f>
        <v>0</v>
      </c>
      <c r="J525" s="290">
        <f ca="1">IFERROR(__xludf.DUMMYFUNCTION("IMPORTRANGE(""https://docs.google.com/spreadsheets/d/1IYY_tgx_IHuhSq3AJ5eI5OnqOPBNLWSHKh2a30DoXe8/edit?usp=sharing"",""นราธิวาส!J420"")"),0)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IFERROR(__xludf.DUMMYFUNCTION("IMPORTRANGE(""https://docs.google.com/spreadsheets/d/1IYY_tgx_IHuhSq3AJ5eI5OnqOPBNLWSHKh2a30DoXe8/edit?usp=sharing"",""นราธิวาส!I421"")"),0)</f>
        <v>0</v>
      </c>
      <c r="J526" s="290">
        <f ca="1">IFERROR(__xludf.DUMMYFUNCTION("IMPORTRANGE(""https://docs.google.com/spreadsheets/d/1IYY_tgx_IHuhSq3AJ5eI5OnqOPBNLWSHKh2a30DoXe8/edit?usp=sharing"",""นราธิวาส!J421"")"),0)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IFERROR(__xludf.DUMMYFUNCTION("IMPORTRANGE(""https://docs.google.com/spreadsheets/d/1IYY_tgx_IHuhSq3AJ5eI5OnqOPBNLWSHKh2a30DoXe8/edit?usp=sharing"",""นราธิวาส!I422"")"),0)</f>
        <v>0</v>
      </c>
      <c r="J527" s="204">
        <f ca="1">IFERROR(__xludf.DUMMYFUNCTION("IMPORTRANGE(""https://docs.google.com/spreadsheets/d/1IYY_tgx_IHuhSq3AJ5eI5OnqOPBNLWSHKh2a30DoXe8/edit?usp=sharing"",""นราธิวาส!J422"")"),0)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IFERROR(__xludf.DUMMYFUNCTION("IMPORTRANGE(""https://docs.google.com/spreadsheets/d/1IYY_tgx_IHuhSq3AJ5eI5OnqOPBNLWSHKh2a30DoXe8/edit?usp=sharing"",""นราธิวาส!I423"")"),0)</f>
        <v>0</v>
      </c>
      <c r="J528" s="204">
        <f ca="1">IFERROR(__xludf.DUMMYFUNCTION("IMPORTRANGE(""https://docs.google.com/spreadsheets/d/1IYY_tgx_IHuhSq3AJ5eI5OnqOPBNLWSHKh2a30DoXe8/edit?usp=sharing"",""นราธิวาส!J423"")"),0)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IFERROR(__xludf.DUMMYFUNCTION("IMPORTRANGE(""https://docs.google.com/spreadsheets/d/1IYY_tgx_IHuhSq3AJ5eI5OnqOPBNLWSHKh2a30DoXe8/edit?usp=sharing"",""นราธิวาส!I424"")"),0)</f>
        <v>0</v>
      </c>
      <c r="J529" s="204">
        <f ca="1">IFERROR(__xludf.DUMMYFUNCTION("IMPORTRANGE(""https://docs.google.com/spreadsheets/d/1IYY_tgx_IHuhSq3AJ5eI5OnqOPBNLWSHKh2a30DoXe8/edit?usp=sharing"",""นราธิวาส!J424"")"),0)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IFERROR(__xludf.DUMMYFUNCTION("IMPORTRANGE(""https://docs.google.com/spreadsheets/d/1IYY_tgx_IHuhSq3AJ5eI5OnqOPBNLWSHKh2a30DoXe8/edit?usp=sharing"",""นราธิวาส!I425"")"),0)</f>
        <v>0</v>
      </c>
      <c r="J530" s="204">
        <f ca="1">IFERROR(__xludf.DUMMYFUNCTION("IMPORTRANGE(""https://docs.google.com/spreadsheets/d/1IYY_tgx_IHuhSq3AJ5eI5OnqOPBNLWSHKh2a30DoXe8/edit?usp=sharing"",""นราธิวาส!J425"")"),0)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IFERROR(__xludf.DUMMYFUNCTION("IMPORTRANGE(""https://docs.google.com/spreadsheets/d/1IYY_tgx_IHuhSq3AJ5eI5OnqOPBNLWSHKh2a30DoXe8/edit?usp=sharing"",""นราธิวาส!I426"")"),0)</f>
        <v>0</v>
      </c>
      <c r="J531" s="204">
        <f ca="1">IFERROR(__xludf.DUMMYFUNCTION("IMPORTRANGE(""https://docs.google.com/spreadsheets/d/1IYY_tgx_IHuhSq3AJ5eI5OnqOPBNLWSHKh2a30DoXe8/edit?usp=sharing"",""นราธิวาส!J426"")"),0)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IFERROR(__xludf.DUMMYFUNCTION("IMPORTRANGE(""https://docs.google.com/spreadsheets/d/1IYY_tgx_IHuhSq3AJ5eI5OnqOPBNLWSHKh2a30DoXe8/edit?usp=sharing"",""นราธิวาส!I427"")"),0)</f>
        <v>0</v>
      </c>
      <c r="J532" s="472">
        <f ca="1">IFERROR(__xludf.DUMMYFUNCTION("IMPORTRANGE(""https://docs.google.com/spreadsheets/d/1IYY_tgx_IHuhSq3AJ5eI5OnqOPBNLWSHKh2a30DoXe8/edit?usp=sharing"",""นราธิวาส!J427"")"),0)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IFERROR(__xludf.DUMMYFUNCTION("IMPORTRANGE(""https://docs.google.com/spreadsheets/d/1IYY_tgx_IHuhSq3AJ5eI5OnqOPBNLWSHKh2a30DoXe8/edit?usp=sharing"",""นราธิวาส!I428"")"),20)</f>
        <v>20</v>
      </c>
      <c r="J533" s="416">
        <f ca="1">IFERROR(__xludf.DUMMYFUNCTION("IMPORTRANGE(""https://docs.google.com/spreadsheets/d/1IYY_tgx_IHuhSq3AJ5eI5OnqOPBNLWSHKh2a30DoXe8/edit?usp=sharing"",""นราธิวาส!J428"")"),20)</f>
        <v>20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IFERROR(__xludf.DUMMYFUNCTION("IMPORTRANGE(""https://docs.google.com/spreadsheets/d/1IYY_tgx_IHuhSq3AJ5eI5OnqOPBNLWSHKh2a30DoXe8/edit?usp=sharing"",""นราธิวาส!L428"")"),32640)</f>
        <v>32640</v>
      </c>
      <c r="M533" s="418"/>
      <c r="N533" s="418">
        <f ca="1">IFERROR(__xludf.DUMMYFUNCTION("IMPORTRANGE(""https://docs.google.com/spreadsheets/d/1IYY_tgx_IHuhSq3AJ5eI5OnqOPBNLWSHKh2a30DoXe8/edit?usp=sharing"",""นราธิวาส!M428"")"),32640)</f>
        <v>32640</v>
      </c>
      <c r="O533" s="418">
        <f t="shared" ref="O533:O537" ca="1" si="117">+IF(L533&gt;0,N533*100/L533,0)</f>
        <v>100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IFERROR(__xludf.DUMMYFUNCTION("IMPORTRANGE(""https://docs.google.com/spreadsheets/d/1IYY_tgx_IHuhSq3AJ5eI5OnqOPBNLWSHKh2a30DoXe8/edit?usp=sharing"",""นราธิวาส!L429"")"),0)</f>
        <v>0</v>
      </c>
      <c r="M534" s="168"/>
      <c r="N534" s="175">
        <f ca="1">IFERROR(__xludf.DUMMYFUNCTION("IMPORTRANGE(""https://docs.google.com/spreadsheets/d/1IYY_tgx_IHuhSq3AJ5eI5OnqOPBNLWSHKh2a30DoXe8/edit?usp=sharing"",""นราธิวาส!M429"")"),0)</f>
        <v>0</v>
      </c>
      <c r="O534" s="175">
        <f t="shared" ca="1" si="117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IFERROR(__xludf.DUMMYFUNCTION("IMPORTRANGE(""https://docs.google.com/spreadsheets/d/1IYY_tgx_IHuhSq3AJ5eI5OnqOPBNLWSHKh2a30DoXe8/edit?usp=sharing"",""นราธิวาส!L430"")"),32640)</f>
        <v>32640</v>
      </c>
      <c r="M535" s="169"/>
      <c r="N535" s="175">
        <f ca="1">IFERROR(__xludf.DUMMYFUNCTION("IMPORTRANGE(""https://docs.google.com/spreadsheets/d/1IYY_tgx_IHuhSq3AJ5eI5OnqOPBNLWSHKh2a30DoXe8/edit?usp=sharing"",""นราธิวาส!M430"")"),32640)</f>
        <v>32640</v>
      </c>
      <c r="O535" s="175">
        <f t="shared" ca="1" si="117"/>
        <v>100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IFERROR(__xludf.DUMMYFUNCTION("IMPORTRANGE(""https://docs.google.com/spreadsheets/d/1IYY_tgx_IHuhSq3AJ5eI5OnqOPBNLWSHKh2a30DoXe8/edit?usp=sharing"",""นราธิวาส!L431"")"),0)</f>
        <v>0</v>
      </c>
      <c r="M536" s="175"/>
      <c r="N536" s="175">
        <f ca="1">IFERROR(__xludf.DUMMYFUNCTION("IMPORTRANGE(""https://docs.google.com/spreadsheets/d/1IYY_tgx_IHuhSq3AJ5eI5OnqOPBNLWSHKh2a30DoXe8/edit?usp=sharing"",""นราธิวาส!M431"")"),0)</f>
        <v>0</v>
      </c>
      <c r="O536" s="175">
        <f t="shared" ca="1" si="117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IFERROR(__xludf.DUMMYFUNCTION("IMPORTRANGE(""https://docs.google.com/spreadsheets/d/1IYY_tgx_IHuhSq3AJ5eI5OnqOPBNLWSHKh2a30DoXe8/edit?usp=sharing"",""นราธิวาส!L432"")"),32640)</f>
        <v>32640</v>
      </c>
      <c r="M537" s="175"/>
      <c r="N537" s="175">
        <f ca="1">IFERROR(__xludf.DUMMYFUNCTION("IMPORTRANGE(""https://docs.google.com/spreadsheets/d/1IYY_tgx_IHuhSq3AJ5eI5OnqOPBNLWSHKh2a30DoXe8/edit?usp=sharing"",""นราธิวาส!M432"")"),32640)</f>
        <v>32640</v>
      </c>
      <c r="O537" s="175">
        <f t="shared" ca="1" si="117"/>
        <v>100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IFERROR(__xludf.DUMMYFUNCTION("IMPORTRANGE(""https://docs.google.com/spreadsheets/d/1IYY_tgx_IHuhSq3AJ5eI5OnqOPBNLWSHKh2a30DoXe8/edit?usp=sharing"",""นราธิวาส!M433"")"),17040)</f>
        <v>17040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IFERROR(__xludf.DUMMYFUNCTION("IMPORTRANGE(""https://docs.google.com/spreadsheets/d/1IYY_tgx_IHuhSq3AJ5eI5OnqOPBNLWSHKh2a30DoXe8/edit?usp=sharing"",""นราธิวาส!M434"")"),0)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IFERROR(__xludf.DUMMYFUNCTION("IMPORTRANGE(""https://docs.google.com/spreadsheets/d/1IYY_tgx_IHuhSq3AJ5eI5OnqOPBNLWSHKh2a30DoXe8/edit?usp=sharing"",""นราธิวาส!M435"")"),0)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IFERROR(__xludf.DUMMYFUNCTION("IMPORTRANGE(""https://docs.google.com/spreadsheets/d/1IYY_tgx_IHuhSq3AJ5eI5OnqOPBNLWSHKh2a30DoXe8/edit?usp=sharing"",""นราธิวาส!M436"")"),15600)</f>
        <v>15600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IFERROR(__xludf.DUMMYFUNCTION("IMPORTRANGE(""https://docs.google.com/spreadsheets/d/1IYY_tgx_IHuhSq3AJ5eI5OnqOPBNLWSHKh2a30DoXe8/edit?usp=sharing"",""นราธิวาส!J438"")"),0)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IFERROR(__xludf.DUMMYFUNCTION("IMPORTRANGE(""https://docs.google.com/spreadsheets/d/1IYY_tgx_IHuhSq3AJ5eI5OnqOPBNLWSHKh2a30DoXe8/edit?usp=sharing"",""นราธิวาส!J439"")"),1)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IFERROR(__xludf.DUMMYFUNCTION("IMPORTRANGE(""https://docs.google.com/spreadsheets/d/1IYY_tgx_IHuhSq3AJ5eI5OnqOPBNLWSHKh2a30DoXe8/edit?usp=sharing"",""นราธิวาส!J440"")"),1)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IFERROR(__xludf.DUMMYFUNCTION("IMPORTRANGE(""https://docs.google.com/spreadsheets/d/1IYY_tgx_IHuhSq3AJ5eI5OnqOPBNLWSHKh2a30DoXe8/edit?usp=sharing"",""นราธิวาส!J441"")"),1)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IFERROR(__xludf.DUMMYFUNCTION("IMPORTRANGE(""https://docs.google.com/spreadsheets/d/1IYY_tgx_IHuhSq3AJ5eI5OnqOPBNLWSHKh2a30DoXe8/edit?usp=sharing"",""นราธิวาส!I442"")"),20)</f>
        <v>20</v>
      </c>
      <c r="J547" s="195">
        <f ca="1">IFERROR(__xludf.DUMMYFUNCTION("IMPORTRANGE(""https://docs.google.com/spreadsheets/d/1IYY_tgx_IHuhSq3AJ5eI5OnqOPBNLWSHKh2a30DoXe8/edit?usp=sharing"",""นราธิวาส!J442"")"),20)</f>
        <v>20</v>
      </c>
      <c r="K547" s="167">
        <f t="shared" ref="K547:K548" ca="1" si="118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IFERROR(__xludf.DUMMYFUNCTION("IMPORTRANGE(""https://docs.google.com/spreadsheets/d/1IYY_tgx_IHuhSq3AJ5eI5OnqOPBNLWSHKh2a30DoXe8/edit?usp=sharing"",""นราธิวาส!J166"")"),0)</f>
        <v>0</v>
      </c>
      <c r="K548" s="167">
        <f t="shared" ca="1" si="118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IFERROR(__xludf.DUMMYFUNCTION("IMPORTRANGE(""https://docs.google.com/spreadsheets/d/1IYY_tgx_IHuhSq3AJ5eI5OnqOPBNLWSHKh2a30DoXe8/edit?usp=sharing"",""นราธิวาส!J444"")"),0)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IFERROR(__xludf.DUMMYFUNCTION("IMPORTRANGE(""https://docs.google.com/spreadsheets/d/1IYY_tgx_IHuhSq3AJ5eI5OnqOPBNLWSHKh2a30DoXe8/edit?usp=sharing"",""นราธิวาส!J445"")"),0)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IFERROR(__xludf.DUMMYFUNCTION("IMPORTRANGE(""https://docs.google.com/spreadsheets/d/1IYY_tgx_IHuhSq3AJ5eI5OnqOPBNLWSHKh2a30DoXe8/edit?usp=sharing"",""นราธิวาส!I446"")"),0)</f>
        <v>0</v>
      </c>
      <c r="J551" s="416">
        <f ca="1">IFERROR(__xludf.DUMMYFUNCTION("IMPORTRANGE(""https://docs.google.com/spreadsheets/d/1IYY_tgx_IHuhSq3AJ5eI5OnqOPBNLWSHKh2a30DoXe8/edit?usp=sharing"",""นราธิวาส!J446"")"),0)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IFERROR(__xludf.DUMMYFUNCTION("IMPORTRANGE(""https://docs.google.com/spreadsheets/d/1IYY_tgx_IHuhSq3AJ5eI5OnqOPBNLWSHKh2a30DoXe8/edit?usp=sharing"",""นราธิวาส!L446"")"),0)</f>
        <v>0</v>
      </c>
      <c r="M551" s="418"/>
      <c r="N551" s="418">
        <f ca="1">IFERROR(__xludf.DUMMYFUNCTION("IMPORTRANGE(""https://docs.google.com/spreadsheets/d/1IYY_tgx_IHuhSq3AJ5eI5OnqOPBNLWSHKh2a30DoXe8/edit?usp=sharing"",""นราธิวาส!M446"")"),0)</f>
        <v>0</v>
      </c>
      <c r="O551" s="418">
        <f t="shared" ref="O551:O555" ca="1" si="119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IFERROR(__xludf.DUMMYFUNCTION("IMPORTRANGE(""https://docs.google.com/spreadsheets/d/1IYY_tgx_IHuhSq3AJ5eI5OnqOPBNLWSHKh2a30DoXe8/edit?usp=sharing"",""นราธิวาส!L447"")"),0)</f>
        <v>0</v>
      </c>
      <c r="M552" s="168"/>
      <c r="N552" s="175">
        <f ca="1">IFERROR(__xludf.DUMMYFUNCTION("IMPORTRANGE(""https://docs.google.com/spreadsheets/d/1IYY_tgx_IHuhSq3AJ5eI5OnqOPBNLWSHKh2a30DoXe8/edit?usp=sharing"",""นราธิวาส!M447"")"),0)</f>
        <v>0</v>
      </c>
      <c r="O552" s="175">
        <f t="shared" ca="1" si="119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IFERROR(__xludf.DUMMYFUNCTION("IMPORTRANGE(""https://docs.google.com/spreadsheets/d/1IYY_tgx_IHuhSq3AJ5eI5OnqOPBNLWSHKh2a30DoXe8/edit?usp=sharing"",""นราธิวาส!L448"")"),0)</f>
        <v>0</v>
      </c>
      <c r="M553" s="169"/>
      <c r="N553" s="175">
        <f ca="1">IFERROR(__xludf.DUMMYFUNCTION("IMPORTRANGE(""https://docs.google.com/spreadsheets/d/1IYY_tgx_IHuhSq3AJ5eI5OnqOPBNLWSHKh2a30DoXe8/edit?usp=sharing"",""นราธิวาส!M448"")"),0)</f>
        <v>0</v>
      </c>
      <c r="O553" s="175">
        <f t="shared" ca="1" si="119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IFERROR(__xludf.DUMMYFUNCTION("IMPORTRANGE(""https://docs.google.com/spreadsheets/d/1IYY_tgx_IHuhSq3AJ5eI5OnqOPBNLWSHKh2a30DoXe8/edit?usp=sharing"",""นราธิวาส!L449"")"),0)</f>
        <v>0</v>
      </c>
      <c r="M554" s="175"/>
      <c r="N554" s="175">
        <f ca="1">IFERROR(__xludf.DUMMYFUNCTION("IMPORTRANGE(""https://docs.google.com/spreadsheets/d/1IYY_tgx_IHuhSq3AJ5eI5OnqOPBNLWSHKh2a30DoXe8/edit?usp=sharing"",""นราธิวาส!M449"")"),0)</f>
        <v>0</v>
      </c>
      <c r="O554" s="175">
        <f t="shared" ca="1" si="119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IFERROR(__xludf.DUMMYFUNCTION("IMPORTRANGE(""https://docs.google.com/spreadsheets/d/1IYY_tgx_IHuhSq3AJ5eI5OnqOPBNLWSHKh2a30DoXe8/edit?usp=sharing"",""นราธิวาส!L450"")"),0)</f>
        <v>0</v>
      </c>
      <c r="M555" s="175"/>
      <c r="N555" s="175">
        <f ca="1">IFERROR(__xludf.DUMMYFUNCTION("IMPORTRANGE(""https://docs.google.com/spreadsheets/d/1IYY_tgx_IHuhSq3AJ5eI5OnqOPBNLWSHKh2a30DoXe8/edit?usp=sharing"",""นราธิวาส!M450"")"),0)</f>
        <v>0</v>
      </c>
      <c r="O555" s="175">
        <f t="shared" ca="1" si="119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IFERROR(__xludf.DUMMYFUNCTION("IMPORTRANGE(""https://docs.google.com/spreadsheets/d/1IYY_tgx_IHuhSq3AJ5eI5OnqOPBNLWSHKh2a30DoXe8/edit?usp=sharing"",""นราธิวาส!M451"")"),0)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IFERROR(__xludf.DUMMYFUNCTION("IMPORTRANGE(""https://docs.google.com/spreadsheets/d/1IYY_tgx_IHuhSq3AJ5eI5OnqOPBNLWSHKh2a30DoXe8/edit?usp=sharing"",""นราธิวาส!M452"")"),0)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IFERROR(__xludf.DUMMYFUNCTION("IMPORTRANGE(""https://docs.google.com/spreadsheets/d/1IYY_tgx_IHuhSq3AJ5eI5OnqOPBNLWSHKh2a30DoXe8/edit?usp=sharing"",""นราธิวาส!M453"")"),0)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IFERROR(__xludf.DUMMYFUNCTION("IMPORTRANGE(""https://docs.google.com/spreadsheets/d/1IYY_tgx_IHuhSq3AJ5eI5OnqOPBNLWSHKh2a30DoXe8/edit?usp=sharing"",""นราธิวาส!M454"")"),0)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IFERROR(__xludf.DUMMYFUNCTION("IMPORTRANGE(""https://docs.google.com/spreadsheets/d/1IYY_tgx_IHuhSq3AJ5eI5OnqOPBNLWSHKh2a30DoXe8/edit?usp=sharing"",""นราธิวาส!I455"")"),0)</f>
        <v>0</v>
      </c>
      <c r="J560" s="166">
        <f ca="1">IFERROR(__xludf.DUMMYFUNCTION("IMPORTRANGE(""https://docs.google.com/spreadsheets/d/1IYY_tgx_IHuhSq3AJ5eI5OnqOPBNLWSHKh2a30DoXe8/edit?usp=sharing"",""นราธิวาส!J455"")"),0)</f>
        <v>0</v>
      </c>
      <c r="K560" s="230">
        <f t="shared" ref="K560:K561" ca="1" si="120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IFERROR(__xludf.DUMMYFUNCTION("IMPORTRANGE(""https://docs.google.com/spreadsheets/d/1IYY_tgx_IHuhSq3AJ5eI5OnqOPBNLWSHKh2a30DoXe8/edit?usp=sharing"",""นราธิวาส!I456"")"),0)</f>
        <v>0</v>
      </c>
      <c r="J561" s="210">
        <f ca="1">IFERROR(__xludf.DUMMYFUNCTION("IMPORTRANGE(""https://docs.google.com/spreadsheets/d/1IYY_tgx_IHuhSq3AJ5eI5OnqOPBNLWSHKh2a30DoXe8/edit?usp=sharing"",""นราธิวาส!J456"")"),0)</f>
        <v>0</v>
      </c>
      <c r="K561" s="230">
        <f t="shared" ca="1" si="120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IFERROR(__xludf.DUMMYFUNCTION("IMPORTRANGE(""https://docs.google.com/spreadsheets/d/1IYY_tgx_IHuhSq3AJ5eI5OnqOPBNLWSHKh2a30DoXe8/edit?usp=sharing"",""นราธิวาส!I459"")"),150)</f>
        <v>150</v>
      </c>
      <c r="J564" s="377">
        <f ca="1">IFERROR(__xludf.DUMMYFUNCTION("IMPORTRANGE(""https://docs.google.com/spreadsheets/d/1IYY_tgx_IHuhSq3AJ5eI5OnqOPBNLWSHKh2a30DoXe8/edit?usp=sharing"",""นราธิวาส!J459"")"),486)</f>
        <v>486</v>
      </c>
      <c r="K564" s="378">
        <f ca="1">IF(I564&gt;0,J564*100/I564,0)</f>
        <v>324</v>
      </c>
      <c r="L564" s="379">
        <f ca="1">IFERROR(__xludf.DUMMYFUNCTION("IMPORTRANGE(""https://docs.google.com/spreadsheets/d/1IYY_tgx_IHuhSq3AJ5eI5OnqOPBNLWSHKh2a30DoXe8/edit?usp=sharing"",""นราธิวาส!L459"")"),120720)</f>
        <v>120720</v>
      </c>
      <c r="M564" s="379"/>
      <c r="N564" s="379">
        <f ca="1">IFERROR(__xludf.DUMMYFUNCTION("IMPORTRANGE(""https://docs.google.com/spreadsheets/d/1IYY_tgx_IHuhSq3AJ5eI5OnqOPBNLWSHKh2a30DoXe8/edit?usp=sharing"",""นราธิวาส!M459"")"),95020)</f>
        <v>95020</v>
      </c>
      <c r="O564" s="379">
        <f t="shared" ref="O564:O568" ca="1" si="121">+IF(L564&gt;0,N564*100/L564,0)</f>
        <v>78.711066931742877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IFERROR(__xludf.DUMMYFUNCTION("IMPORTRANGE(""https://docs.google.com/spreadsheets/d/1IYY_tgx_IHuhSq3AJ5eI5OnqOPBNLWSHKh2a30DoXe8/edit?usp=sharing"",""นราธิวาส!L460"")"),0)</f>
        <v>0</v>
      </c>
      <c r="M565" s="168"/>
      <c r="N565" s="175">
        <f ca="1">IFERROR(__xludf.DUMMYFUNCTION("IMPORTRANGE(""https://docs.google.com/spreadsheets/d/1IYY_tgx_IHuhSq3AJ5eI5OnqOPBNLWSHKh2a30DoXe8/edit?usp=sharing"",""นราธิวาส!M460"")"),0)</f>
        <v>0</v>
      </c>
      <c r="O565" s="175">
        <f t="shared" ca="1" si="121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IFERROR(__xludf.DUMMYFUNCTION("IMPORTRANGE(""https://docs.google.com/spreadsheets/d/1IYY_tgx_IHuhSq3AJ5eI5OnqOPBNLWSHKh2a30DoXe8/edit?usp=sharing"",""นราธิวาส!L461"")"),120720)</f>
        <v>120720</v>
      </c>
      <c r="M566" s="169"/>
      <c r="N566" s="175">
        <f ca="1">IFERROR(__xludf.DUMMYFUNCTION("IMPORTRANGE(""https://docs.google.com/spreadsheets/d/1IYY_tgx_IHuhSq3AJ5eI5OnqOPBNLWSHKh2a30DoXe8/edit?usp=sharing"",""นราธิวาส!M461"")"),95020)</f>
        <v>95020</v>
      </c>
      <c r="O566" s="175">
        <f t="shared" ca="1" si="121"/>
        <v>78.711066931742877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IFERROR(__xludf.DUMMYFUNCTION("IMPORTRANGE(""https://docs.google.com/spreadsheets/d/1IYY_tgx_IHuhSq3AJ5eI5OnqOPBNLWSHKh2a30DoXe8/edit?usp=sharing"",""นราธิวาส!L462"")"),0)</f>
        <v>0</v>
      </c>
      <c r="M567" s="175"/>
      <c r="N567" s="175">
        <f ca="1">IFERROR(__xludf.DUMMYFUNCTION("IMPORTRANGE(""https://docs.google.com/spreadsheets/d/1IYY_tgx_IHuhSq3AJ5eI5OnqOPBNLWSHKh2a30DoXe8/edit?usp=sharing"",""นราธิวาส!M462"")"),0)</f>
        <v>0</v>
      </c>
      <c r="O567" s="175">
        <f t="shared" ca="1" si="121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IFERROR(__xludf.DUMMYFUNCTION("IMPORTRANGE(""https://docs.google.com/spreadsheets/d/1IYY_tgx_IHuhSq3AJ5eI5OnqOPBNLWSHKh2a30DoXe8/edit?usp=sharing"",""นราธิวาส!L463"")"),120720)</f>
        <v>120720</v>
      </c>
      <c r="M568" s="175"/>
      <c r="N568" s="175">
        <f ca="1">IFERROR(__xludf.DUMMYFUNCTION("IMPORTRANGE(""https://docs.google.com/spreadsheets/d/1IYY_tgx_IHuhSq3AJ5eI5OnqOPBNLWSHKh2a30DoXe8/edit?usp=sharing"",""นราธิวาส!M463"")"),95020)</f>
        <v>95020</v>
      </c>
      <c r="O568" s="175">
        <f t="shared" ca="1" si="121"/>
        <v>78.711066931742877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IFERROR(__xludf.DUMMYFUNCTION("IMPORTRANGE(""https://docs.google.com/spreadsheets/d/1IYY_tgx_IHuhSq3AJ5eI5OnqOPBNLWSHKh2a30DoXe8/edit?usp=sharing"",""นราธิวาส!M464"")"),0)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IFERROR(__xludf.DUMMYFUNCTION("IMPORTRANGE(""https://docs.google.com/spreadsheets/d/1IYY_tgx_IHuhSq3AJ5eI5OnqOPBNLWSHKh2a30DoXe8/edit?usp=sharing"",""นราธิวาส!M465"")"),0)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IFERROR(__xludf.DUMMYFUNCTION("IMPORTRANGE(""https://docs.google.com/spreadsheets/d/1IYY_tgx_IHuhSq3AJ5eI5OnqOPBNLWSHKh2a30DoXe8/edit?usp=sharing"",""นราธิวาส!M466"")"),73300)</f>
        <v>73300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IFERROR(__xludf.DUMMYFUNCTION("IMPORTRANGE(""https://docs.google.com/spreadsheets/d/1IYY_tgx_IHuhSq3AJ5eI5OnqOPBNLWSHKh2a30DoXe8/edit?usp=sharing"",""นราธิวาส!M467"")"),21720)</f>
        <v>21720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IFERROR(__xludf.DUMMYFUNCTION("IMPORTRANGE(""https://docs.google.com/spreadsheets/d/1IYY_tgx_IHuhSq3AJ5eI5OnqOPBNLWSHKh2a30DoXe8/edit?usp=sharing"",""นราธิวาส!I468"")"),150)</f>
        <v>150</v>
      </c>
      <c r="J573" s="426">
        <f ca="1">IFERROR(__xludf.DUMMYFUNCTION("IMPORTRANGE(""https://docs.google.com/spreadsheets/d/1IYY_tgx_IHuhSq3AJ5eI5OnqOPBNLWSHKh2a30DoXe8/edit?usp=sharing"",""นราธิวาส!J468"")"),486)</f>
        <v>486</v>
      </c>
      <c r="K573" s="208">
        <f ca="1">IF(I573&gt;0,J573*100/I573,0)</f>
        <v>324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IFERROR(__xludf.DUMMYFUNCTION("IMPORTRANGE(""https://docs.google.com/spreadsheets/d/1IYY_tgx_IHuhSq3AJ5eI5OnqOPBNLWSHKh2a30DoXe8/edit?usp=sharing"",""นราธิวาส!I470"")"),0)</f>
        <v>0</v>
      </c>
      <c r="J575" s="204">
        <f ca="1">IFERROR(__xludf.DUMMYFUNCTION("IMPORTRANGE(""https://docs.google.com/spreadsheets/d/1IYY_tgx_IHuhSq3AJ5eI5OnqOPBNLWSHKh2a30DoXe8/edit?usp=sharing"",""นราธิวาส!J470"")"),4)</f>
        <v>4</v>
      </c>
      <c r="K575" s="167">
        <f t="shared" ref="K575:K579" ca="1" si="122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IFERROR(__xludf.DUMMYFUNCTION("IMPORTRANGE(""https://docs.google.com/spreadsheets/d/1IYY_tgx_IHuhSq3AJ5eI5OnqOPBNLWSHKh2a30DoXe8/edit?usp=sharing"",""นราธิวาส!I471"")"),0)</f>
        <v>0</v>
      </c>
      <c r="J576" s="204">
        <f ca="1">IFERROR(__xludf.DUMMYFUNCTION("IMPORTRANGE(""https://docs.google.com/spreadsheets/d/1IYY_tgx_IHuhSq3AJ5eI5OnqOPBNLWSHKh2a30DoXe8/edit?usp=sharing"",""นราธิวาส!J471"")"),154)</f>
        <v>154</v>
      </c>
      <c r="K576" s="167">
        <f t="shared" ca="1" si="122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IFERROR(__xludf.DUMMYFUNCTION("IMPORTRANGE(""https://docs.google.com/spreadsheets/d/1IYY_tgx_IHuhSq3AJ5eI5OnqOPBNLWSHKh2a30DoXe8/edit?usp=sharing"",""นราธิวาส!I472"")"),0)</f>
        <v>0</v>
      </c>
      <c r="J577" s="195">
        <f ca="1">IFERROR(__xludf.DUMMYFUNCTION("IMPORTRANGE(""https://docs.google.com/spreadsheets/d/1IYY_tgx_IHuhSq3AJ5eI5OnqOPBNLWSHKh2a30DoXe8/edit?usp=sharing"",""นราธิวาส!J472"")"),332)</f>
        <v>332</v>
      </c>
      <c r="K577" s="167">
        <f t="shared" ca="1" si="122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IFERROR(__xludf.DUMMYFUNCTION("IMPORTRANGE(""https://docs.google.com/spreadsheets/d/1IYY_tgx_IHuhSq3AJ5eI5OnqOPBNLWSHKh2a30DoXe8/edit?usp=sharing"",""นราธิวาส!I473"")"),0)</f>
        <v>0</v>
      </c>
      <c r="J578" s="204">
        <f ca="1">IFERROR(__xludf.DUMMYFUNCTION("IMPORTRANGE(""https://docs.google.com/spreadsheets/d/1IYY_tgx_IHuhSq3AJ5eI5OnqOPBNLWSHKh2a30DoXe8/edit?usp=sharing"",""นราธิวาส!J473"")"),0)</f>
        <v>0</v>
      </c>
      <c r="K578" s="167">
        <f t="shared" ca="1" si="122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IFERROR(__xludf.DUMMYFUNCTION("IMPORTRANGE(""https://docs.google.com/spreadsheets/d/1IYY_tgx_IHuhSq3AJ5eI5OnqOPBNLWSHKh2a30DoXe8/edit?usp=sharing"",""นราธิวาส!I474"")"),0)</f>
        <v>0</v>
      </c>
      <c r="J579" s="204">
        <f ca="1">IFERROR(__xludf.DUMMYFUNCTION("IMPORTRANGE(""https://docs.google.com/spreadsheets/d/1IYY_tgx_IHuhSq3AJ5eI5OnqOPBNLWSHKh2a30DoXe8/edit?usp=sharing"",""นราธิวาส!J474"")"),0)</f>
        <v>0</v>
      </c>
      <c r="K579" s="167">
        <f t="shared" ca="1" si="122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IFERROR(__xludf.DUMMYFUNCTION("IMPORTRANGE(""https://docs.google.com/spreadsheets/d/1IYY_tgx_IHuhSq3AJ5eI5OnqOPBNLWSHKh2a30DoXe8/edit?usp=sharing"",""นราธิวาส!I475"")"),0)</f>
        <v>0</v>
      </c>
      <c r="J580" s="377">
        <f ca="1">IFERROR(__xludf.DUMMYFUNCTION("IMPORTRANGE(""https://docs.google.com/spreadsheets/d/1IYY_tgx_IHuhSq3AJ5eI5OnqOPBNLWSHKh2a30DoXe8/edit?usp=sharing"",""นราธิวาส!J475"")"),0)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IFERROR(__xludf.DUMMYFUNCTION("IMPORTRANGE(""https://docs.google.com/spreadsheets/d/1IYY_tgx_IHuhSq3AJ5eI5OnqOPBNLWSHKh2a30DoXe8/edit?usp=sharing"",""นราธิวาส!L475"")"),0)</f>
        <v>0</v>
      </c>
      <c r="M580" s="379"/>
      <c r="N580" s="379">
        <f ca="1">IFERROR(__xludf.DUMMYFUNCTION("IMPORTRANGE(""https://docs.google.com/spreadsheets/d/1IYY_tgx_IHuhSq3AJ5eI5OnqOPBNLWSHKh2a30DoXe8/edit?usp=sharing"",""นราธิวาส!M475"")"),0)</f>
        <v>0</v>
      </c>
      <c r="O580" s="379">
        <f t="shared" ref="O580:O584" ca="1" si="123">+IF(L580&gt;0,N580*100/L580,0)</f>
        <v>0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IFERROR(__xludf.DUMMYFUNCTION("IMPORTRANGE(""https://docs.google.com/spreadsheets/d/1IYY_tgx_IHuhSq3AJ5eI5OnqOPBNLWSHKh2a30DoXe8/edit?usp=sharing"",""นราธิวาส!L476"")"),0)</f>
        <v>0</v>
      </c>
      <c r="M581" s="168"/>
      <c r="N581" s="175">
        <f ca="1">IFERROR(__xludf.DUMMYFUNCTION("IMPORTRANGE(""https://docs.google.com/spreadsheets/d/1IYY_tgx_IHuhSq3AJ5eI5OnqOPBNLWSHKh2a30DoXe8/edit?usp=sharing"",""นราธิวาส!M476"")"),0)</f>
        <v>0</v>
      </c>
      <c r="O581" s="175">
        <f t="shared" ca="1" si="123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IFERROR(__xludf.DUMMYFUNCTION("IMPORTRANGE(""https://docs.google.com/spreadsheets/d/1IYY_tgx_IHuhSq3AJ5eI5OnqOPBNLWSHKh2a30DoXe8/edit?usp=sharing"",""นราธิวาส!L477"")"),0)</f>
        <v>0</v>
      </c>
      <c r="M582" s="169"/>
      <c r="N582" s="175">
        <f ca="1">IFERROR(__xludf.DUMMYFUNCTION("IMPORTRANGE(""https://docs.google.com/spreadsheets/d/1IYY_tgx_IHuhSq3AJ5eI5OnqOPBNLWSHKh2a30DoXe8/edit?usp=sharing"",""นราธิวาส!M477"")"),0)</f>
        <v>0</v>
      </c>
      <c r="O582" s="175">
        <f t="shared" ca="1" si="123"/>
        <v>0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IFERROR(__xludf.DUMMYFUNCTION("IMPORTRANGE(""https://docs.google.com/spreadsheets/d/1IYY_tgx_IHuhSq3AJ5eI5OnqOPBNLWSHKh2a30DoXe8/edit?usp=sharing"",""นราธิวาส!L478"")"),0)</f>
        <v>0</v>
      </c>
      <c r="M583" s="175"/>
      <c r="N583" s="175">
        <f ca="1">IFERROR(__xludf.DUMMYFUNCTION("IMPORTRANGE(""https://docs.google.com/spreadsheets/d/1IYY_tgx_IHuhSq3AJ5eI5OnqOPBNLWSHKh2a30DoXe8/edit?usp=sharing"",""นราธิวาส!M478"")"),0)</f>
        <v>0</v>
      </c>
      <c r="O583" s="175">
        <f t="shared" ca="1" si="123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IFERROR(__xludf.DUMMYFUNCTION("IMPORTRANGE(""https://docs.google.com/spreadsheets/d/1IYY_tgx_IHuhSq3AJ5eI5OnqOPBNLWSHKh2a30DoXe8/edit?usp=sharing"",""นราธิวาส!L479"")"),0)</f>
        <v>0</v>
      </c>
      <c r="M584" s="175"/>
      <c r="N584" s="175">
        <f ca="1">IFERROR(__xludf.DUMMYFUNCTION("IMPORTRANGE(""https://docs.google.com/spreadsheets/d/1IYY_tgx_IHuhSq3AJ5eI5OnqOPBNLWSHKh2a30DoXe8/edit?usp=sharing"",""นราธิวาส!M479"")"),0)</f>
        <v>0</v>
      </c>
      <c r="O584" s="175">
        <f t="shared" ca="1" si="123"/>
        <v>0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IFERROR(__xludf.DUMMYFUNCTION("IMPORTRANGE(""https://docs.google.com/spreadsheets/d/1IYY_tgx_IHuhSq3AJ5eI5OnqOPBNLWSHKh2a30DoXe8/edit?usp=sharing"",""นราธิวาส!M480"")"),0)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IFERROR(__xludf.DUMMYFUNCTION("IMPORTRANGE(""https://docs.google.com/spreadsheets/d/1IYY_tgx_IHuhSq3AJ5eI5OnqOPBNLWSHKh2a30DoXe8/edit?usp=sharing"",""นราธิวาส!M481"")"),0)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IFERROR(__xludf.DUMMYFUNCTION("IMPORTRANGE(""https://docs.google.com/spreadsheets/d/1IYY_tgx_IHuhSq3AJ5eI5OnqOPBNLWSHKh2a30DoXe8/edit?usp=sharing"",""นราธิวาส!M482"")"),0)</f>
        <v>0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IFERROR(__xludf.DUMMYFUNCTION("IMPORTRANGE(""https://docs.google.com/spreadsheets/d/1IYY_tgx_IHuhSq3AJ5eI5OnqOPBNLWSHKh2a30DoXe8/edit?usp=sharing"",""นราธิวาส!M483"")"),0)</f>
        <v>0</v>
      </c>
      <c r="O588" s="175"/>
      <c r="P588" s="175"/>
    </row>
    <row r="589" spans="1:16" ht="21.75" customHeight="1" x14ac:dyDescent="0.2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IFERROR(__xludf.DUMMYFUNCTION("IMPORTRANGE(""https://docs.google.com/spreadsheets/d/1IYY_tgx_IHuhSq3AJ5eI5OnqOPBNLWSHKh2a30DoXe8/edit?usp=sharing"",""นราธิวาส!I484"")"),0)</f>
        <v>0</v>
      </c>
      <c r="J589" s="194">
        <f ca="1">IFERROR(__xludf.DUMMYFUNCTION("IMPORTRANGE(""https://docs.google.com/spreadsheets/d/1IYY_tgx_IHuhSq3AJ5eI5OnqOPBNLWSHKh2a30DoXe8/edit?usp=sharing"",""นราธิวาส!J484"")"),0)</f>
        <v>0</v>
      </c>
      <c r="K589" s="167">
        <f t="shared" ref="K589:K596" ca="1" si="124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2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IFERROR(__xludf.DUMMYFUNCTION("IMPORTRANGE(""https://docs.google.com/spreadsheets/d/1IYY_tgx_IHuhSq3AJ5eI5OnqOPBNLWSHKh2a30DoXe8/edit?usp=sharing"",""นราธิวาส!I485"")"),0)</f>
        <v>0</v>
      </c>
      <c r="J590" s="194">
        <f ca="1">IFERROR(__xludf.DUMMYFUNCTION("IMPORTRANGE(""https://docs.google.com/spreadsheets/d/1IYY_tgx_IHuhSq3AJ5eI5OnqOPBNLWSHKh2a30DoXe8/edit?usp=sharing"",""นราธิวาส!J485"")"),0)</f>
        <v>0</v>
      </c>
      <c r="K590" s="486">
        <f t="shared" ca="1" si="124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IFERROR(__xludf.DUMMYFUNCTION("IMPORTRANGE(""https://docs.google.com/spreadsheets/d/1IYY_tgx_IHuhSq3AJ5eI5OnqOPBNLWSHKh2a30DoXe8/edit?usp=sharing"",""นราธิวาส!I486"")"),0)</f>
        <v>0</v>
      </c>
      <c r="J591" s="194">
        <f ca="1">IFERROR(__xludf.DUMMYFUNCTION("IMPORTRANGE(""https://docs.google.com/spreadsheets/d/1IYY_tgx_IHuhSq3AJ5eI5OnqOPBNLWSHKh2a30DoXe8/edit?usp=sharing"",""นราธิวาส!J486"")"),0)</f>
        <v>0</v>
      </c>
      <c r="K591" s="167">
        <f t="shared" ca="1" si="124"/>
        <v>0</v>
      </c>
      <c r="L591" s="188"/>
      <c r="M591" s="188"/>
      <c r="N591" s="188"/>
      <c r="O591" s="188"/>
      <c r="P591" s="188"/>
    </row>
    <row r="592" spans="1:16" ht="21.75" customHeight="1" x14ac:dyDescent="0.2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IFERROR(__xludf.DUMMYFUNCTION("IMPORTRANGE(""https://docs.google.com/spreadsheets/d/1IYY_tgx_IHuhSq3AJ5eI5OnqOPBNLWSHKh2a30DoXe8/edit?usp=sharing"",""นราธิวาส!I487"")"),0)</f>
        <v>0</v>
      </c>
      <c r="J592" s="194">
        <f ca="1">IFERROR(__xludf.DUMMYFUNCTION("IMPORTRANGE(""https://docs.google.com/spreadsheets/d/1IYY_tgx_IHuhSq3AJ5eI5OnqOPBNLWSHKh2a30DoXe8/edit?usp=sharing"",""นราธิวาส!J487"")"),0)</f>
        <v>0</v>
      </c>
      <c r="K592" s="348">
        <f t="shared" ca="1" si="124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IFERROR(__xludf.DUMMYFUNCTION("IMPORTRANGE(""https://docs.google.com/spreadsheets/d/1IYY_tgx_IHuhSq3AJ5eI5OnqOPBNLWSHKh2a30DoXe8/edit?usp=sharing"",""นราธิวาส!I488"")"),0)</f>
        <v>0</v>
      </c>
      <c r="J593" s="194">
        <f ca="1">IFERROR(__xludf.DUMMYFUNCTION("IMPORTRANGE(""https://docs.google.com/spreadsheets/d/1IYY_tgx_IHuhSq3AJ5eI5OnqOPBNLWSHKh2a30DoXe8/edit?usp=sharing"",""นราธิวาส!J488"")"),0)</f>
        <v>0</v>
      </c>
      <c r="K593" s="167">
        <f t="shared" ca="1" si="124"/>
        <v>0</v>
      </c>
      <c r="L593" s="188"/>
      <c r="M593" s="188"/>
      <c r="N593" s="188"/>
      <c r="O593" s="188"/>
      <c r="P593" s="188"/>
    </row>
    <row r="594" spans="1:16" ht="21.75" customHeight="1" x14ac:dyDescent="0.2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IFERROR(__xludf.DUMMYFUNCTION("IMPORTRANGE(""https://docs.google.com/spreadsheets/d/1IYY_tgx_IHuhSq3AJ5eI5OnqOPBNLWSHKh2a30DoXe8/edit?usp=sharing"",""นราธิวาส!I489"")"),0)</f>
        <v>0</v>
      </c>
      <c r="J594" s="194">
        <f ca="1">IFERROR(__xludf.DUMMYFUNCTION("IMPORTRANGE(""https://docs.google.com/spreadsheets/d/1IYY_tgx_IHuhSq3AJ5eI5OnqOPBNLWSHKh2a30DoXe8/edit?usp=sharing"",""นราธิวาส!J489"")"),0)</f>
        <v>0</v>
      </c>
      <c r="K594" s="348">
        <f t="shared" ca="1" si="124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IFERROR(__xludf.DUMMYFUNCTION("IMPORTRANGE(""https://docs.google.com/spreadsheets/d/1IYY_tgx_IHuhSq3AJ5eI5OnqOPBNLWSHKh2a30DoXe8/edit?usp=sharing"",""นราธิวาส!I490"")"),0)</f>
        <v>0</v>
      </c>
      <c r="J595" s="194">
        <f ca="1">IFERROR(__xludf.DUMMYFUNCTION("IMPORTRANGE(""https://docs.google.com/spreadsheets/d/1IYY_tgx_IHuhSq3AJ5eI5OnqOPBNLWSHKh2a30DoXe8/edit?usp=sharing"",""นราธิวาส!J490"")"),0)</f>
        <v>0</v>
      </c>
      <c r="K595" s="167">
        <f t="shared" ca="1" si="124"/>
        <v>0</v>
      </c>
      <c r="L595" s="188"/>
      <c r="M595" s="188"/>
      <c r="N595" s="188"/>
      <c r="O595" s="188"/>
      <c r="P595" s="188"/>
    </row>
    <row r="596" spans="1:16" ht="21.75" customHeight="1" x14ac:dyDescent="0.2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IFERROR(__xludf.DUMMYFUNCTION("IMPORTRANGE(""https://docs.google.com/spreadsheets/d/1IYY_tgx_IHuhSq3AJ5eI5OnqOPBNLWSHKh2a30DoXe8/edit?usp=sharing"",""นราธิวาส!I491"")"),0)</f>
        <v>0</v>
      </c>
      <c r="J596" s="247">
        <f ca="1">IFERROR(__xludf.DUMMYFUNCTION("IMPORTRANGE(""https://docs.google.com/spreadsheets/d/1IYY_tgx_IHuhSq3AJ5eI5OnqOPBNLWSHKh2a30DoXe8/edit?usp=sharing"",""นราธิวาส!J491"")"),0)</f>
        <v>0</v>
      </c>
      <c r="K596" s="493">
        <f t="shared" ca="1" si="124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IFERROR(__xludf.DUMMYFUNCTION("IMPORTRANGE(""https://docs.google.com/spreadsheets/d/1IYY_tgx_IHuhSq3AJ5eI5OnqOPBNLWSHKh2a30DoXe8/edit?usp=sharing"",""นราธิวาส!I492"")"),50)</f>
        <v>50</v>
      </c>
      <c r="J597" s="494">
        <f ca="1">IFERROR(__xludf.DUMMYFUNCTION("IMPORTRANGE(""https://docs.google.com/spreadsheets/d/1IYY_tgx_IHuhSq3AJ5eI5OnqOPBNLWSHKh2a30DoXe8/edit?usp=sharing"",""นราธิวาส!J492"")"),0)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IFERROR(__xludf.DUMMYFUNCTION("IMPORTRANGE(""https://docs.google.com/spreadsheets/d/1IYY_tgx_IHuhSq3AJ5eI5OnqOPBNLWSHKh2a30DoXe8/edit?usp=sharing"",""นราธิวาส!L492"")"),20660)</f>
        <v>20660</v>
      </c>
      <c r="M597" s="418"/>
      <c r="N597" s="418">
        <f ca="1">IFERROR(__xludf.DUMMYFUNCTION("IMPORTRANGE(""https://docs.google.com/spreadsheets/d/1IYY_tgx_IHuhSq3AJ5eI5OnqOPBNLWSHKh2a30DoXe8/edit?usp=sharing"",""นราธิวาส!M492"")"),20660)</f>
        <v>20660</v>
      </c>
      <c r="O597" s="418">
        <f t="shared" ref="O597:O601" ca="1" si="125">+IF(L597&gt;0,N597*100/L597,0)</f>
        <v>100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IFERROR(__xludf.DUMMYFUNCTION("IMPORTRANGE(""https://docs.google.com/spreadsheets/d/1IYY_tgx_IHuhSq3AJ5eI5OnqOPBNLWSHKh2a30DoXe8/edit?usp=sharing"",""นราธิวาส!L493"")"),0)</f>
        <v>0</v>
      </c>
      <c r="M598" s="168"/>
      <c r="N598" s="175">
        <f ca="1">IFERROR(__xludf.DUMMYFUNCTION("IMPORTRANGE(""https://docs.google.com/spreadsheets/d/1IYY_tgx_IHuhSq3AJ5eI5OnqOPBNLWSHKh2a30DoXe8/edit?usp=sharing"",""นราธิวาส!M493"")"),0)</f>
        <v>0</v>
      </c>
      <c r="O598" s="175">
        <f t="shared" ca="1" si="125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IFERROR(__xludf.DUMMYFUNCTION("IMPORTRANGE(""https://docs.google.com/spreadsheets/d/1IYY_tgx_IHuhSq3AJ5eI5OnqOPBNLWSHKh2a30DoXe8/edit?usp=sharing"",""นราธิวาส!L494"")"),20660)</f>
        <v>20660</v>
      </c>
      <c r="M599" s="169"/>
      <c r="N599" s="175">
        <f ca="1">IFERROR(__xludf.DUMMYFUNCTION("IMPORTRANGE(""https://docs.google.com/spreadsheets/d/1IYY_tgx_IHuhSq3AJ5eI5OnqOPBNLWSHKh2a30DoXe8/edit?usp=sharing"",""นราธิวาส!M494"")"),20660)</f>
        <v>20660</v>
      </c>
      <c r="O599" s="175">
        <f t="shared" ca="1" si="125"/>
        <v>100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IFERROR(__xludf.DUMMYFUNCTION("IMPORTRANGE(""https://docs.google.com/spreadsheets/d/1IYY_tgx_IHuhSq3AJ5eI5OnqOPBNLWSHKh2a30DoXe8/edit?usp=sharing"",""นราธิวาส!L495"")"),0)</f>
        <v>0</v>
      </c>
      <c r="M600" s="175"/>
      <c r="N600" s="175">
        <f ca="1">IFERROR(__xludf.DUMMYFUNCTION("IMPORTRANGE(""https://docs.google.com/spreadsheets/d/1IYY_tgx_IHuhSq3AJ5eI5OnqOPBNLWSHKh2a30DoXe8/edit?usp=sharing"",""นราธิวาส!M495"")"),0)</f>
        <v>0</v>
      </c>
      <c r="O600" s="175">
        <f t="shared" ca="1" si="125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IFERROR(__xludf.DUMMYFUNCTION("IMPORTRANGE(""https://docs.google.com/spreadsheets/d/1IYY_tgx_IHuhSq3AJ5eI5OnqOPBNLWSHKh2a30DoXe8/edit?usp=sharing"",""นราธิวาส!L496"")"),20660)</f>
        <v>20660</v>
      </c>
      <c r="M601" s="175"/>
      <c r="N601" s="175">
        <f ca="1">IFERROR(__xludf.DUMMYFUNCTION("IMPORTRANGE(""https://docs.google.com/spreadsheets/d/1IYY_tgx_IHuhSq3AJ5eI5OnqOPBNLWSHKh2a30DoXe8/edit?usp=sharing"",""นราธิวาส!M496"")"),20660)</f>
        <v>20660</v>
      </c>
      <c r="O601" s="175">
        <f t="shared" ca="1" si="125"/>
        <v>100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IFERROR(__xludf.DUMMYFUNCTION("IMPORTRANGE(""https://docs.google.com/spreadsheets/d/1IYY_tgx_IHuhSq3AJ5eI5OnqOPBNLWSHKh2a30DoXe8/edit?usp=sharing"",""นราธิวาส!M497"")"),0)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IFERROR(__xludf.DUMMYFUNCTION("IMPORTRANGE(""https://docs.google.com/spreadsheets/d/1IYY_tgx_IHuhSq3AJ5eI5OnqOPBNLWSHKh2a30DoXe8/edit?usp=sharing"",""นราธิวาส!M498"")"),0)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IFERROR(__xludf.DUMMYFUNCTION("IMPORTRANGE(""https://docs.google.com/spreadsheets/d/1IYY_tgx_IHuhSq3AJ5eI5OnqOPBNLWSHKh2a30DoXe8/edit?usp=sharing"",""นราธิวาส!M499"")"),0)</f>
        <v>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IFERROR(__xludf.DUMMYFUNCTION("IMPORTRANGE(""https://docs.google.com/spreadsheets/d/1IYY_tgx_IHuhSq3AJ5eI5OnqOPBNLWSHKh2a30DoXe8/edit?usp=sharing"",""นราธิวาส!M500"")"),20660)</f>
        <v>20660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IFERROR(__xludf.DUMMYFUNCTION("IMPORTRANGE(""https://docs.google.com/spreadsheets/d/1IYY_tgx_IHuhSq3AJ5eI5OnqOPBNLWSHKh2a30DoXe8/edit?usp=sharing"",""นราธิวาส!J502"")"),0)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IFERROR(__xludf.DUMMYFUNCTION("IMPORTRANGE(""https://docs.google.com/spreadsheets/d/1IYY_tgx_IHuhSq3AJ5eI5OnqOPBNLWSHKh2a30DoXe8/edit?usp=sharing"",""นราธิวาส!J503"")"),1)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IFERROR(__xludf.DUMMYFUNCTION("IMPORTRANGE(""https://docs.google.com/spreadsheets/d/1IYY_tgx_IHuhSq3AJ5eI5OnqOPBNLWSHKh2a30DoXe8/edit?usp=sharing"",""นราธิวาส!J166"")"),0)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2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IFERROR(__xludf.DUMMYFUNCTION("IMPORTRANGE(""https://docs.google.com/spreadsheets/d/1IYY_tgx_IHuhSq3AJ5eI5OnqOPBNLWSHKh2a30DoXe8/edit?usp=sharing"",""นราธิวาส!J166"")"),0)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IFERROR(__xludf.DUMMYFUNCTION("IMPORTRANGE(""https://docs.google.com/spreadsheets/d/1IYY_tgx_IHuhSq3AJ5eI5OnqOPBNLWSHKh2a30DoXe8/edit?usp=sharing"",""นราธิวาส!I506"")"),50)</f>
        <v>50</v>
      </c>
      <c r="J611" s="166">
        <f ca="1">IFERROR(__xludf.DUMMYFUNCTION("IMPORTRANGE(""https://docs.google.com/spreadsheets/d/1IYY_tgx_IHuhSq3AJ5eI5OnqOPBNLWSHKh2a30DoXe8/edit?usp=sharing"",""นราธิวาส!J506"")"),0)</f>
        <v>0</v>
      </c>
      <c r="K611" s="167">
        <f t="shared" ref="K611:K619" ca="1" si="126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IFERROR(__xludf.DUMMYFUNCTION("IMPORTRANGE(""https://docs.google.com/spreadsheets/d/1IYY_tgx_IHuhSq3AJ5eI5OnqOPBNLWSHKh2a30DoXe8/edit?usp=sharing"",""นราธิวาส!I507"")"),0)</f>
        <v>0</v>
      </c>
      <c r="J612" s="204">
        <f ca="1">IFERROR(__xludf.DUMMYFUNCTION("IMPORTRANGE(""https://docs.google.com/spreadsheets/d/1IYY_tgx_IHuhSq3AJ5eI5OnqOPBNLWSHKh2a30DoXe8/edit?usp=sharing"",""นราธิวาส!J507"")"),50)</f>
        <v>50</v>
      </c>
      <c r="K612" s="167">
        <f t="shared" ca="1" si="126"/>
        <v>100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IFERROR(__xludf.DUMMYFUNCTION("IMPORTRANGE(""https://docs.google.com/spreadsheets/d/1IYY_tgx_IHuhSq3AJ5eI5OnqOPBNLWSHKh2a30DoXe8/edit?usp=sharing"",""นราธิวาส!I508"")"),0)</f>
        <v>0</v>
      </c>
      <c r="J613" s="204">
        <f ca="1">IFERROR(__xludf.DUMMYFUNCTION("IMPORTRANGE(""https://docs.google.com/spreadsheets/d/1IYY_tgx_IHuhSq3AJ5eI5OnqOPBNLWSHKh2a30DoXe8/edit?usp=sharing"",""นราธิวาส!J508"")"),50)</f>
        <v>50</v>
      </c>
      <c r="K613" s="167">
        <f t="shared" ca="1" si="126"/>
        <v>100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IFERROR(__xludf.DUMMYFUNCTION("IMPORTRANGE(""https://docs.google.com/spreadsheets/d/1IYY_tgx_IHuhSq3AJ5eI5OnqOPBNLWSHKh2a30DoXe8/edit?usp=sharing"",""นราธิวาส!I509"")"),0)</f>
        <v>0</v>
      </c>
      <c r="J614" s="204">
        <f ca="1">IFERROR(__xludf.DUMMYFUNCTION("IMPORTRANGE(""https://docs.google.com/spreadsheets/d/1IYY_tgx_IHuhSq3AJ5eI5OnqOPBNLWSHKh2a30DoXe8/edit?usp=sharing"",""นราธิวาส!J509"")"),50)</f>
        <v>50</v>
      </c>
      <c r="K614" s="167">
        <f t="shared" ca="1" si="126"/>
        <v>100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IFERROR(__xludf.DUMMYFUNCTION("IMPORTRANGE(""https://docs.google.com/spreadsheets/d/1IYY_tgx_IHuhSq3AJ5eI5OnqOPBNLWSHKh2a30DoXe8/edit?usp=sharing"",""นราธิวาส!I510"")"),0)</f>
        <v>0</v>
      </c>
      <c r="J615" s="204">
        <f ca="1">IFERROR(__xludf.DUMMYFUNCTION("IMPORTRANGE(""https://docs.google.com/spreadsheets/d/1IYY_tgx_IHuhSq3AJ5eI5OnqOPBNLWSHKh2a30DoXe8/edit?usp=sharing"",""นราธิวาส!J510"")"),50)</f>
        <v>50</v>
      </c>
      <c r="K615" s="167">
        <f t="shared" ca="1" si="126"/>
        <v>100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IFERROR(__xludf.DUMMYFUNCTION("IMPORTRANGE(""https://docs.google.com/spreadsheets/d/1IYY_tgx_IHuhSq3AJ5eI5OnqOPBNLWSHKh2a30DoXe8/edit?usp=sharing"",""นราธิวาส!I511"")"),0)</f>
        <v>0</v>
      </c>
      <c r="J616" s="204">
        <f ca="1">IFERROR(__xludf.DUMMYFUNCTION("IMPORTRANGE(""https://docs.google.com/spreadsheets/d/1IYY_tgx_IHuhSq3AJ5eI5OnqOPBNLWSHKh2a30DoXe8/edit?usp=sharing"",""นราธิวาส!J511"")"),50)</f>
        <v>50</v>
      </c>
      <c r="K616" s="167">
        <f t="shared" ca="1" si="126"/>
        <v>100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IFERROR(__xludf.DUMMYFUNCTION("IMPORTRANGE(""https://docs.google.com/spreadsheets/d/1IYY_tgx_IHuhSq3AJ5eI5OnqOPBNLWSHKh2a30DoXe8/edit?usp=sharing"",""นราธิวาส!I512"")"),0)</f>
        <v>0</v>
      </c>
      <c r="J617" s="194">
        <f ca="1">IFERROR(__xludf.DUMMYFUNCTION("IMPORTRANGE(""https://docs.google.com/spreadsheets/d/1IYY_tgx_IHuhSq3AJ5eI5OnqOPBNLWSHKh2a30DoXe8/edit?usp=sharing"",""นราธิวาส!J512"")"),0)</f>
        <v>0</v>
      </c>
      <c r="K617" s="167">
        <f t="shared" ca="1" si="126"/>
        <v>0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IFERROR(__xludf.DUMMYFUNCTION("IMPORTRANGE(""https://docs.google.com/spreadsheets/d/1IYY_tgx_IHuhSq3AJ5eI5OnqOPBNLWSHKh2a30DoXe8/edit?usp=sharing"",""นราธิวาส!I513"")"),0)</f>
        <v>0</v>
      </c>
      <c r="J618" s="195">
        <f ca="1">IFERROR(__xludf.DUMMYFUNCTION("IMPORTRANGE(""https://docs.google.com/spreadsheets/d/1IYY_tgx_IHuhSq3AJ5eI5OnqOPBNLWSHKh2a30DoXe8/edit?usp=sharing"",""นราธิวาส!J513"")"),0)</f>
        <v>0</v>
      </c>
      <c r="K618" s="167">
        <f t="shared" ca="1" si="126"/>
        <v>0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IFERROR(__xludf.DUMMYFUNCTION("IMPORTRANGE(""https://docs.google.com/spreadsheets/d/1IYY_tgx_IHuhSq3AJ5eI5OnqOPBNLWSHKh2a30DoXe8/edit?usp=sharing"",""นราธิวาส!I514"")"),0)</f>
        <v>0</v>
      </c>
      <c r="J619" s="195">
        <f ca="1">IFERROR(__xludf.DUMMYFUNCTION("IMPORTRANGE(""https://docs.google.com/spreadsheets/d/1IYY_tgx_IHuhSq3AJ5eI5OnqOPBNLWSHKh2a30DoXe8/edit?usp=sharing"",""นราธิวาส!J514"")"),0)</f>
        <v>0</v>
      </c>
      <c r="K619" s="167">
        <f t="shared" ca="1" si="126"/>
        <v>0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IFERROR(__xludf.DUMMYFUNCTION("IMPORTRANGE(""https://docs.google.com/spreadsheets/d/1IYY_tgx_IHuhSq3AJ5eI5OnqOPBNLWSHKh2a30DoXe8/edit?usp=sharing"",""นราธิวาส!I515"")"),266.839999999999)</f>
        <v>266.83999999999901</v>
      </c>
      <c r="J620" s="209">
        <f ca="1">IFERROR(__xludf.DUMMYFUNCTION("IMPORTRANGE(""https://docs.google.com/spreadsheets/d/1IYY_tgx_IHuhSq3AJ5eI5OnqOPBNLWSHKh2a30DoXe8/edit?usp=sharing"",""นราธิวาส!J515"")"),267)</f>
        <v>267</v>
      </c>
      <c r="K620" s="167">
        <f t="shared" ref="K620:K626" ca="1" si="127">IF(I$620&gt;0,J620*100/I$620,0)</f>
        <v>100.05996102533391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IFERROR(__xludf.DUMMYFUNCTION("IMPORTRANGE(""https://docs.google.com/spreadsheets/d/1IYY_tgx_IHuhSq3AJ5eI5OnqOPBNLWSHKh2a30DoXe8/edit?usp=sharing"",""นราธิวาส!I516"")"),0)</f>
        <v>0</v>
      </c>
      <c r="J621" s="209">
        <f ca="1">IFERROR(__xludf.DUMMYFUNCTION("IMPORTRANGE(""https://docs.google.com/spreadsheets/d/1IYY_tgx_IHuhSq3AJ5eI5OnqOPBNLWSHKh2a30DoXe8/edit?usp=sharing"",""นราธิวาส!J516"")"),267)</f>
        <v>267</v>
      </c>
      <c r="K621" s="167">
        <f t="shared" ca="1" si="127"/>
        <v>100.05996102533391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IFERROR(__xludf.DUMMYFUNCTION("IMPORTRANGE(""https://docs.google.com/spreadsheets/d/1IYY_tgx_IHuhSq3AJ5eI5OnqOPBNLWSHKh2a30DoXe8/edit?usp=sharing"",""นราธิวาส!I517"")"),0)</f>
        <v>0</v>
      </c>
      <c r="J622" s="195">
        <f ca="1">IFERROR(__xludf.DUMMYFUNCTION("IMPORTRANGE(""https://docs.google.com/spreadsheets/d/1IYY_tgx_IHuhSq3AJ5eI5OnqOPBNLWSHKh2a30DoXe8/edit?usp=sharing"",""นราธิวาส!J517"")"),125)</f>
        <v>125</v>
      </c>
      <c r="K622" s="167">
        <f t="shared" ca="1" si="127"/>
        <v>46.844551041822989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IFERROR(__xludf.DUMMYFUNCTION("IMPORTRANGE(""https://docs.google.com/spreadsheets/d/1IYY_tgx_IHuhSq3AJ5eI5OnqOPBNLWSHKh2a30DoXe8/edit?usp=sharing"",""นราธิวาส!I518"")"),0)</f>
        <v>0</v>
      </c>
      <c r="J623" s="195">
        <f ca="1">IFERROR(__xludf.DUMMYFUNCTION("IMPORTRANGE(""https://docs.google.com/spreadsheets/d/1IYY_tgx_IHuhSq3AJ5eI5OnqOPBNLWSHKh2a30DoXe8/edit?usp=sharing"",""นราธิวาส!J518"")"),142)</f>
        <v>142</v>
      </c>
      <c r="K623" s="167">
        <f t="shared" ca="1" si="127"/>
        <v>53.215409983510916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IFERROR(__xludf.DUMMYFUNCTION("IMPORTRANGE(""https://docs.google.com/spreadsheets/d/1IYY_tgx_IHuhSq3AJ5eI5OnqOPBNLWSHKh2a30DoXe8/edit?usp=sharing"",""นราธิวาส!I519"")"),0)</f>
        <v>0</v>
      </c>
      <c r="J624" s="194">
        <f ca="1">IFERROR(__xludf.DUMMYFUNCTION("IMPORTRANGE(""https://docs.google.com/spreadsheets/d/1IYY_tgx_IHuhSq3AJ5eI5OnqOPBNLWSHKh2a30DoXe8/edit?usp=sharing"",""นราธิวาส!J519"")"),267)</f>
        <v>267</v>
      </c>
      <c r="K624" s="167">
        <f t="shared" ca="1" si="127"/>
        <v>100.05996102533391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IFERROR(__xludf.DUMMYFUNCTION("IMPORTRANGE(""https://docs.google.com/spreadsheets/d/1IYY_tgx_IHuhSq3AJ5eI5OnqOPBNLWSHKh2a30DoXe8/edit?usp=sharing"",""นราธิวาส!I520"")"),0)</f>
        <v>0</v>
      </c>
      <c r="J625" s="195">
        <f ca="1">IFERROR(__xludf.DUMMYFUNCTION("IMPORTRANGE(""https://docs.google.com/spreadsheets/d/1IYY_tgx_IHuhSq3AJ5eI5OnqOPBNLWSHKh2a30DoXe8/edit?usp=sharing"",""นราธิวาส!J520"")"),248)</f>
        <v>248</v>
      </c>
      <c r="K625" s="167">
        <f t="shared" ca="1" si="127"/>
        <v>92.93958926697681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IFERROR(__xludf.DUMMYFUNCTION("IMPORTRANGE(""https://docs.google.com/spreadsheets/d/1IYY_tgx_IHuhSq3AJ5eI5OnqOPBNLWSHKh2a30DoXe8/edit?usp=sharing"",""นราธิวาส!I521"")"),0)</f>
        <v>0</v>
      </c>
      <c r="J626" s="195">
        <f ca="1">IFERROR(__xludf.DUMMYFUNCTION("IMPORTRANGE(""https://docs.google.com/spreadsheets/d/1IYY_tgx_IHuhSq3AJ5eI5OnqOPBNLWSHKh2a30DoXe8/edit?usp=sharing"",""นราธิวาส!J521"")"),248)</f>
        <v>248</v>
      </c>
      <c r="K626" s="167">
        <f t="shared" ca="1" si="127"/>
        <v>92.93958926697681</v>
      </c>
      <c r="L626" s="188"/>
      <c r="M626" s="188"/>
      <c r="N626" s="188"/>
      <c r="O626" s="188"/>
      <c r="P626" s="188"/>
    </row>
    <row r="627" spans="1:16" ht="21.75" customHeight="1" x14ac:dyDescent="0.2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2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IFERROR(__xludf.DUMMYFUNCTION("IMPORTRANGE(""https://docs.google.com/spreadsheets/d/1IYY_tgx_IHuhSq3AJ5eI5OnqOPBNLWSHKh2a30DoXe8/edit?usp=sharing"",""นราธิวาส!I523"")"),309233.81)</f>
        <v>309233.81</v>
      </c>
      <c r="J628" s="347">
        <f ca="1">IFERROR(__xludf.DUMMYFUNCTION("IMPORTRANGE(""https://docs.google.com/spreadsheets/d/1IYY_tgx_IHuhSq3AJ5eI5OnqOPBNLWSHKh2a30DoXe8/edit?usp=sharing"",""นราธิวาส!J523"")"),310090.28)</f>
        <v>310090.28000000003</v>
      </c>
      <c r="K628" s="348">
        <f t="shared" ref="K628:K635" ca="1" si="128">IF(I628&gt;0,J628*100/I628,0)</f>
        <v>100.27696518695677</v>
      </c>
      <c r="L628" s="348"/>
      <c r="M628" s="348"/>
      <c r="N628" s="348"/>
      <c r="O628" s="175"/>
      <c r="P628" s="175"/>
    </row>
    <row r="629" spans="1:16" ht="21.75" customHeight="1" x14ac:dyDescent="0.2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IFERROR(__xludf.DUMMYFUNCTION("IMPORTRANGE(""https://docs.google.com/spreadsheets/d/1IYY_tgx_IHuhSq3AJ5eI5OnqOPBNLWSHKh2a30DoXe8/edit?usp=sharing"",""นราธิวาส!I524"")"),29)</f>
        <v>29</v>
      </c>
      <c r="J629" s="347">
        <f ca="1">IFERROR(__xludf.DUMMYFUNCTION("IMPORTRANGE(""https://docs.google.com/spreadsheets/d/1IYY_tgx_IHuhSq3AJ5eI5OnqOPBNLWSHKh2a30DoXe8/edit?usp=sharing"",""นราธิวาส!J524"")"),29)</f>
        <v>29</v>
      </c>
      <c r="K629" s="348">
        <f t="shared" ca="1" si="128"/>
        <v>100</v>
      </c>
      <c r="L629" s="348"/>
      <c r="M629" s="348"/>
      <c r="N629" s="348"/>
      <c r="O629" s="175"/>
      <c r="P629" s="175"/>
    </row>
    <row r="630" spans="1:16" ht="21.75" customHeight="1" x14ac:dyDescent="0.2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IFERROR(__xludf.DUMMYFUNCTION("IMPORTRANGE(""https://docs.google.com/spreadsheets/d/1IYY_tgx_IHuhSq3AJ5eI5OnqOPBNLWSHKh2a30DoXe8/edit?usp=sharing"",""นราธิวาส!I525"")"),284624.01)</f>
        <v>284624.01</v>
      </c>
      <c r="J630" s="347">
        <f ca="1">IFERROR(__xludf.DUMMYFUNCTION("IMPORTRANGE(""https://docs.google.com/spreadsheets/d/1IYY_tgx_IHuhSq3AJ5eI5OnqOPBNLWSHKh2a30DoXe8/edit?usp=sharing"",""นราธิวาส!J525"")"),28250.25)</f>
        <v>28250.25</v>
      </c>
      <c r="K630" s="348">
        <f t="shared" ca="1" si="128"/>
        <v>9.925462718341997</v>
      </c>
      <c r="L630" s="348"/>
      <c r="M630" s="348"/>
      <c r="N630" s="348"/>
      <c r="O630" s="175"/>
      <c r="P630" s="175"/>
    </row>
    <row r="631" spans="1:16" ht="21.75" customHeight="1" x14ac:dyDescent="0.2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IFERROR(__xludf.DUMMYFUNCTION("IMPORTRANGE(""https://docs.google.com/spreadsheets/d/1IYY_tgx_IHuhSq3AJ5eI5OnqOPBNLWSHKh2a30DoXe8/edit?usp=sharing"",""นราธิวาส!I526"")"),10)</f>
        <v>10</v>
      </c>
      <c r="J631" s="347">
        <f ca="1">IFERROR(__xludf.DUMMYFUNCTION("IMPORTRANGE(""https://docs.google.com/spreadsheets/d/1IYY_tgx_IHuhSq3AJ5eI5OnqOPBNLWSHKh2a30DoXe8/edit?usp=sharing"",""นราธิวาส!J526"")"),10)</f>
        <v>10</v>
      </c>
      <c r="K631" s="348">
        <f t="shared" ca="1" si="128"/>
        <v>100</v>
      </c>
      <c r="L631" s="348"/>
      <c r="M631" s="348"/>
      <c r="N631" s="348"/>
      <c r="O631" s="175"/>
      <c r="P631" s="175"/>
    </row>
    <row r="632" spans="1:16" ht="21.75" customHeight="1" x14ac:dyDescent="0.2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IFERROR(__xludf.DUMMYFUNCTION("IMPORTRANGE(""https://docs.google.com/spreadsheets/d/1IYY_tgx_IHuhSq3AJ5eI5OnqOPBNLWSHKh2a30DoXe8/edit?usp=sharing"",""นราธิวาส!I527"")"),81143.83)</f>
        <v>81143.83</v>
      </c>
      <c r="J632" s="347">
        <f ca="1">IFERROR(__xludf.DUMMYFUNCTION("IMPORTRANGE(""https://docs.google.com/spreadsheets/d/1IYY_tgx_IHuhSq3AJ5eI5OnqOPBNLWSHKh2a30DoXe8/edit?usp=sharing"",""นราธิวาส!J527"")"),68589.91)</f>
        <v>68589.91</v>
      </c>
      <c r="K632" s="348">
        <f t="shared" ca="1" si="128"/>
        <v>84.528805209219229</v>
      </c>
      <c r="L632" s="348"/>
      <c r="M632" s="348"/>
      <c r="N632" s="348"/>
      <c r="O632" s="175"/>
      <c r="P632" s="175"/>
    </row>
    <row r="633" spans="1:16" ht="21.75" customHeight="1" x14ac:dyDescent="0.2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IFERROR(__xludf.DUMMYFUNCTION("IMPORTRANGE(""https://docs.google.com/spreadsheets/d/1IYY_tgx_IHuhSq3AJ5eI5OnqOPBNLWSHKh2a30DoXe8/edit?usp=sharing"",""นราธิวาส!I528"")"),127)</f>
        <v>127</v>
      </c>
      <c r="J633" s="347">
        <f ca="1">IFERROR(__xludf.DUMMYFUNCTION("IMPORTRANGE(""https://docs.google.com/spreadsheets/d/1IYY_tgx_IHuhSq3AJ5eI5OnqOPBNLWSHKh2a30DoXe8/edit?usp=sharing"",""นราธิวาส!J528"")"),107)</f>
        <v>107</v>
      </c>
      <c r="K633" s="348">
        <f t="shared" ca="1" si="128"/>
        <v>84.251968503937007</v>
      </c>
      <c r="L633" s="348"/>
      <c r="M633" s="348"/>
      <c r="N633" s="348"/>
      <c r="O633" s="175"/>
      <c r="P633" s="175"/>
    </row>
    <row r="634" spans="1:16" ht="21.75" customHeight="1" x14ac:dyDescent="0.2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IFERROR(__xludf.DUMMYFUNCTION("IMPORTRANGE(""https://docs.google.com/spreadsheets/d/1IYY_tgx_IHuhSq3AJ5eI5OnqOPBNLWSHKh2a30DoXe8/edit?usp=sharing"",""นราธิวาส!I529"")"),420000)</f>
        <v>420000</v>
      </c>
      <c r="J634" s="347">
        <f ca="1">IFERROR(__xludf.DUMMYFUNCTION("IMPORTRANGE(""https://docs.google.com/spreadsheets/d/1IYY_tgx_IHuhSq3AJ5eI5OnqOPBNLWSHKh2a30DoXe8/edit?usp=sharing"",""นราธิวาส!J529"")"),420000)</f>
        <v>420000</v>
      </c>
      <c r="K634" s="348">
        <f t="shared" ca="1" si="128"/>
        <v>100</v>
      </c>
      <c r="L634" s="348"/>
      <c r="M634" s="348"/>
      <c r="N634" s="348"/>
      <c r="O634" s="175"/>
      <c r="P634" s="175"/>
    </row>
    <row r="635" spans="1:16" ht="21.75" customHeight="1" x14ac:dyDescent="0.25">
      <c r="A635" s="487"/>
      <c r="B635" s="489"/>
      <c r="C635" s="489"/>
      <c r="D635" s="488"/>
      <c r="E635" s="515"/>
      <c r="F635" s="515"/>
      <c r="G635" s="516"/>
      <c r="H635" s="517" t="s">
        <v>37</v>
      </c>
      <c r="I635" s="518">
        <f ca="1">IFERROR(__xludf.DUMMYFUNCTION("IMPORTRANGE(""https://docs.google.com/spreadsheets/d/1IYY_tgx_IHuhSq3AJ5eI5OnqOPBNLWSHKh2a30DoXe8/edit?usp=sharing"",""นราธิวาส!I530"")"),10)</f>
        <v>10</v>
      </c>
      <c r="J635" s="518">
        <f ca="1">IFERROR(__xludf.DUMMYFUNCTION("IMPORTRANGE(""https://docs.google.com/spreadsheets/d/1IYY_tgx_IHuhSq3AJ5eI5OnqOPBNLWSHKh2a30DoXe8/edit?usp=sharing"",""นราธิวาส!J530"")"),10)</f>
        <v>10</v>
      </c>
      <c r="K635" s="493">
        <f t="shared" ca="1" si="128"/>
        <v>100</v>
      </c>
      <c r="L635" s="493"/>
      <c r="M635" s="493"/>
      <c r="N635" s="493"/>
      <c r="O635" s="519"/>
      <c r="P635" s="519"/>
    </row>
    <row r="636" spans="1:16" ht="21.75" customHeight="1" x14ac:dyDescent="0.3">
      <c r="A636" s="520"/>
      <c r="B636" s="599" t="s">
        <v>237</v>
      </c>
      <c r="C636" s="600"/>
      <c r="D636" s="600"/>
      <c r="E636" s="600"/>
      <c r="F636" s="600"/>
      <c r="G636" s="600"/>
      <c r="H636" s="521"/>
      <c r="I636" s="521"/>
      <c r="J636" s="521"/>
      <c r="K636" s="522"/>
      <c r="L636" s="523">
        <f ca="1">SUM(L637,L638)</f>
        <v>13395</v>
      </c>
      <c r="M636" s="524"/>
      <c r="N636" s="523">
        <f ca="1">SUM(N637:N638)</f>
        <v>13395</v>
      </c>
      <c r="O636" s="523">
        <f t="shared" ref="O636:O640" ca="1" si="129">+IF(L636&gt;0,N636*100/L636,0)</f>
        <v>100</v>
      </c>
      <c r="P636" s="523"/>
    </row>
    <row r="637" spans="1:16" ht="21.75" customHeight="1" x14ac:dyDescent="0.3">
      <c r="A637" s="525"/>
      <c r="B637" s="526"/>
      <c r="C637" s="527" t="s">
        <v>16</v>
      </c>
      <c r="D637" s="601" t="s">
        <v>77</v>
      </c>
      <c r="E637" s="575"/>
      <c r="F637" s="575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129"/>
        <v>0</v>
      </c>
      <c r="P637" s="535"/>
    </row>
    <row r="638" spans="1:16" ht="21.75" customHeight="1" x14ac:dyDescent="0.3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13395</v>
      </c>
      <c r="M638" s="534"/>
      <c r="N638" s="535">
        <f ca="1">SUM(N639:N640)</f>
        <v>13395</v>
      </c>
      <c r="O638" s="535">
        <f t="shared" ca="1" si="129"/>
        <v>100</v>
      </c>
      <c r="P638" s="535"/>
    </row>
    <row r="639" spans="1:16" ht="21.75" customHeight="1" x14ac:dyDescent="0.3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129"/>
        <v>0</v>
      </c>
      <c r="P639" s="535"/>
    </row>
    <row r="640" spans="1:16" ht="21.75" customHeight="1" x14ac:dyDescent="0.3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13395</v>
      </c>
      <c r="M640" s="534"/>
      <c r="N640" s="535">
        <f ca="1">SUM(N641:N644)</f>
        <v>13395</v>
      </c>
      <c r="O640" s="535">
        <f t="shared" ca="1" si="129"/>
        <v>100</v>
      </c>
      <c r="P640" s="535"/>
    </row>
    <row r="641" spans="1:16" ht="21.75" customHeight="1" x14ac:dyDescent="0.3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3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3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3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13395</v>
      </c>
      <c r="O644" s="537"/>
      <c r="P644" s="537"/>
    </row>
    <row r="645" spans="1:16" ht="21.75" customHeight="1" x14ac:dyDescent="0.3">
      <c r="A645" s="539"/>
      <c r="B645" s="540"/>
      <c r="C645" s="527" t="s">
        <v>16</v>
      </c>
      <c r="D645" s="602" t="s">
        <v>242</v>
      </c>
      <c r="E645" s="575"/>
      <c r="F645" s="575"/>
      <c r="G645" s="575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3">
      <c r="A646" s="539"/>
      <c r="B646" s="540"/>
      <c r="C646" s="540"/>
      <c r="D646" s="541">
        <v>1</v>
      </c>
      <c r="E646" s="603" t="s">
        <v>44</v>
      </c>
      <c r="F646" s="575"/>
      <c r="G646" s="575"/>
      <c r="H646" s="536"/>
      <c r="I646" s="542"/>
      <c r="J646" s="543">
        <f ca="1">IFERROR(__xludf.DUMMYFUNCTION("IMPORTRANGE(""https://docs.google.com/spreadsheets/d/1IYY_tgx_IHuhSq3AJ5eI5OnqOPBNLWSHKh2a30DoXe8/edit?usp=sharing"",""นราธิวาส!J541"")"),0)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3">
      <c r="A647" s="539"/>
      <c r="B647" s="540"/>
      <c r="C647" s="540"/>
      <c r="D647" s="545">
        <v>2</v>
      </c>
      <c r="E647" s="604" t="s">
        <v>243</v>
      </c>
      <c r="F647" s="575"/>
      <c r="G647" s="575"/>
      <c r="H647" s="536"/>
      <c r="I647" s="542"/>
      <c r="J647" s="543">
        <f ca="1">IFERROR(__xludf.DUMMYFUNCTION("IMPORTRANGE(""https://docs.google.com/spreadsheets/d/1IYY_tgx_IHuhSq3AJ5eI5OnqOPBNLWSHKh2a30DoXe8/edit?usp=sharing"",""นราธิวาส!J542"")"),0)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3">
      <c r="A648" s="525"/>
      <c r="B648" s="526"/>
      <c r="C648" s="526"/>
      <c r="D648" s="526"/>
      <c r="E648" s="526"/>
      <c r="F648" s="598" t="s">
        <v>244</v>
      </c>
      <c r="G648" s="575"/>
      <c r="H648" s="529" t="s">
        <v>122</v>
      </c>
      <c r="I648" s="546">
        <f ca="1">IFERROR(__xludf.DUMMYFUNCTION("IMPORTRANGE(""https://docs.google.com/spreadsheets/d/1IYY_tgx_IHuhSq3AJ5eI5OnqOPBNLWSHKh2a30DoXe8/edit?usp=sharing"",""นราธิวาส!I543"")"),63)</f>
        <v>63</v>
      </c>
      <c r="J648" s="547">
        <f ca="1">IFERROR(__xludf.DUMMYFUNCTION("IMPORTRANGE(""https://docs.google.com/spreadsheets/d/1IYY_tgx_IHuhSq3AJ5eI5OnqOPBNLWSHKh2a30DoXe8/edit?usp=sharing"",""นราธิวาส!J543"")"),64)</f>
        <v>64</v>
      </c>
      <c r="K648" s="548">
        <f t="shared" ref="K648:K651" ca="1" si="130">IF(I648&gt;0,J648*100/I648,0)</f>
        <v>101.58730158730158</v>
      </c>
      <c r="L648" s="535">
        <f ca="1">IFERROR(__xludf.DUMMYFUNCTION("IMPORTRANGE(""https://docs.google.com/spreadsheets/d/1IYY_tgx_IHuhSq3AJ5eI5OnqOPBNLWSHKh2a30DoXe8/edit?usp=sharing"",""นราธิวาส!L543"")"),7875)</f>
        <v>7875</v>
      </c>
      <c r="M648" s="534"/>
      <c r="N648" s="549">
        <f ca="1">IFERROR(__xludf.DUMMYFUNCTION("IMPORTRANGE(""https://docs.google.com/spreadsheets/d/1IYY_tgx_IHuhSq3AJ5eI5OnqOPBNLWSHKh2a30DoXe8/edit?usp=sharing"",""นราธิวาส!M543"")"),7875)</f>
        <v>7875</v>
      </c>
      <c r="O648" s="548">
        <f t="shared" ref="O648:O651" ca="1" si="131">IF(L648&gt;0,N648*100/L648,0)</f>
        <v>100</v>
      </c>
      <c r="P648" s="548"/>
    </row>
    <row r="649" spans="1:16" ht="21.75" customHeight="1" x14ac:dyDescent="0.3">
      <c r="A649" s="525"/>
      <c r="B649" s="526"/>
      <c r="C649" s="526"/>
      <c r="D649" s="526"/>
      <c r="E649" s="526"/>
      <c r="F649" s="598" t="s">
        <v>245</v>
      </c>
      <c r="G649" s="575"/>
      <c r="H649" s="529" t="s">
        <v>37</v>
      </c>
      <c r="I649" s="546">
        <f ca="1">IFERROR(__xludf.DUMMYFUNCTION("IMPORTRANGE(""https://docs.google.com/spreadsheets/d/1IYY_tgx_IHuhSq3AJ5eI5OnqOPBNLWSHKh2a30DoXe8/edit?usp=sharing"",""นราธิวาส!I544"")"),46)</f>
        <v>46</v>
      </c>
      <c r="J649" s="547">
        <f ca="1">IFERROR(__xludf.DUMMYFUNCTION("IMPORTRANGE(""https://docs.google.com/spreadsheets/d/1IYY_tgx_IHuhSq3AJ5eI5OnqOPBNLWSHKh2a30DoXe8/edit?usp=sharing"",""นราธิวาส!J544"")"),46)</f>
        <v>46</v>
      </c>
      <c r="K649" s="548">
        <f t="shared" ca="1" si="130"/>
        <v>100</v>
      </c>
      <c r="L649" s="535">
        <f ca="1">IFERROR(__xludf.DUMMYFUNCTION("IMPORTRANGE(""https://docs.google.com/spreadsheets/d/1IYY_tgx_IHuhSq3AJ5eI5OnqOPBNLWSHKh2a30DoXe8/edit?usp=sharing"",""นราธิวาส!L544"")"),5520)</f>
        <v>5520</v>
      </c>
      <c r="M649" s="534"/>
      <c r="N649" s="549">
        <f ca="1">IFERROR(__xludf.DUMMYFUNCTION("IMPORTRANGE(""https://docs.google.com/spreadsheets/d/1IYY_tgx_IHuhSq3AJ5eI5OnqOPBNLWSHKh2a30DoXe8/edit?usp=sharing"",""นราธิวาส!M544"")"),5520)</f>
        <v>5520</v>
      </c>
      <c r="O649" s="548">
        <f t="shared" ca="1" si="131"/>
        <v>100</v>
      </c>
      <c r="P649" s="548"/>
    </row>
    <row r="650" spans="1:16" ht="21.75" customHeight="1" x14ac:dyDescent="0.3">
      <c r="A650" s="525"/>
      <c r="B650" s="526"/>
      <c r="C650" s="526"/>
      <c r="D650" s="526"/>
      <c r="E650" s="526"/>
      <c r="F650" s="598" t="s">
        <v>246</v>
      </c>
      <c r="G650" s="575"/>
      <c r="H650" s="529" t="s">
        <v>122</v>
      </c>
      <c r="I650" s="546">
        <f ca="1">IFERROR(__xludf.DUMMYFUNCTION("IMPORTRANGE(""https://docs.google.com/spreadsheets/d/1IYY_tgx_IHuhSq3AJ5eI5OnqOPBNLWSHKh2a30DoXe8/edit?usp=sharing"",""นราธิวาส!I545"")"),0)</f>
        <v>0</v>
      </c>
      <c r="J650" s="547">
        <f ca="1">IFERROR(__xludf.DUMMYFUNCTION("IMPORTRANGE(""https://docs.google.com/spreadsheets/d/1IYY_tgx_IHuhSq3AJ5eI5OnqOPBNLWSHKh2a30DoXe8/edit?usp=sharing"",""นราธิวาส!J545"")"),0)</f>
        <v>0</v>
      </c>
      <c r="K650" s="548">
        <f t="shared" ca="1" si="130"/>
        <v>0</v>
      </c>
      <c r="L650" s="535">
        <f ca="1">IFERROR(__xludf.DUMMYFUNCTION("IMPORTRANGE(""https://docs.google.com/spreadsheets/d/1IYY_tgx_IHuhSq3AJ5eI5OnqOPBNLWSHKh2a30DoXe8/edit?usp=sharing"",""นราธิวาส!L545"")"),0)</f>
        <v>0</v>
      </c>
      <c r="M650" s="534"/>
      <c r="N650" s="549">
        <f ca="1">IFERROR(__xludf.DUMMYFUNCTION("IMPORTRANGE(""https://docs.google.com/spreadsheets/d/1IYY_tgx_IHuhSq3AJ5eI5OnqOPBNLWSHKh2a30DoXe8/edit?usp=sharing"",""นราธิวาส!M545"")"),0)</f>
        <v>0</v>
      </c>
      <c r="O650" s="548">
        <f t="shared" ca="1" si="131"/>
        <v>0</v>
      </c>
      <c r="P650" s="548"/>
    </row>
    <row r="651" spans="1:16" ht="21.75" customHeight="1" x14ac:dyDescent="0.3">
      <c r="A651" s="525"/>
      <c r="B651" s="526"/>
      <c r="C651" s="526"/>
      <c r="D651" s="526"/>
      <c r="E651" s="526"/>
      <c r="F651" s="598" t="s">
        <v>247</v>
      </c>
      <c r="G651" s="575"/>
      <c r="H651" s="529" t="s">
        <v>122</v>
      </c>
      <c r="I651" s="546">
        <f ca="1">IFERROR(__xludf.DUMMYFUNCTION("IMPORTRANGE(""https://docs.google.com/spreadsheets/d/1IYY_tgx_IHuhSq3AJ5eI5OnqOPBNLWSHKh2a30DoXe8/edit?usp=sharing"",""นราธิวาส!I546"")"),0)</f>
        <v>0</v>
      </c>
      <c r="J651" s="547">
        <f ca="1">J657+J660</f>
        <v>0</v>
      </c>
      <c r="K651" s="548">
        <f t="shared" ca="1" si="130"/>
        <v>0</v>
      </c>
      <c r="L651" s="535">
        <f ca="1">IFERROR(__xludf.DUMMYFUNCTION("IMPORTRANGE(""https://docs.google.com/spreadsheets/d/1IYY_tgx_IHuhSq3AJ5eI5OnqOPBNLWSHKh2a30DoXe8/edit?usp=sharing"",""นราธิวาส!L546"")"),0)</f>
        <v>0</v>
      </c>
      <c r="M651" s="534"/>
      <c r="N651" s="549">
        <f ca="1">IFERROR(__xludf.DUMMYFUNCTION("IMPORTRANGE(""https://docs.google.com/spreadsheets/d/1IYY_tgx_IHuhSq3AJ5eI5OnqOPBNLWSHKh2a30DoXe8/edit?usp=sharing"",""นราธิวาส!M546"")"),0)</f>
        <v>0</v>
      </c>
      <c r="O651" s="548">
        <f t="shared" ca="1" si="131"/>
        <v>0</v>
      </c>
      <c r="P651" s="548"/>
    </row>
    <row r="652" spans="1:16" ht="21.75" customHeight="1" x14ac:dyDescent="0.3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IFERROR(__xludf.DUMMYFUNCTION("IMPORTRANGE(""https://docs.google.com/spreadsheets/d/1IYY_tgx_IHuhSq3AJ5eI5OnqOPBNLWSHKh2a30DoXe8/edit?usp=sharing"",""นราธิวาส!J547"")"),0)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3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IFERROR(__xludf.DUMMYFUNCTION("IMPORTRANGE(""https://docs.google.com/spreadsheets/d/1IYY_tgx_IHuhSq3AJ5eI5OnqOPBNLWSHKh2a30DoXe8/edit?usp=sharing"",""นราธิวาส!J548"")"),0)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3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3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IFERROR(__xludf.DUMMYFUNCTION("IMPORTRANGE(""https://docs.google.com/spreadsheets/d/1IYY_tgx_IHuhSq3AJ5eI5OnqOPBNLWSHKh2a30DoXe8/edit?usp=sharing"",""นราธิวาส!J550"")"),0)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3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IFERROR(__xludf.DUMMYFUNCTION("IMPORTRANGE(""https://docs.google.com/spreadsheets/d/1IYY_tgx_IHuhSq3AJ5eI5OnqOPBNLWSHKh2a30DoXe8/edit?usp=sharing"",""นราธิวาส!J551"")"),0)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3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IFERROR(__xludf.DUMMYFUNCTION("IMPORTRANGE(""https://docs.google.com/spreadsheets/d/1IYY_tgx_IHuhSq3AJ5eI5OnqOPBNLWSHKh2a30DoXe8/edit?usp=sharing"",""นราธิวาส!J552"")"),0)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3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IFERROR(__xludf.DUMMYFUNCTION("IMPORTRANGE(""https://docs.google.com/spreadsheets/d/1IYY_tgx_IHuhSq3AJ5eI5OnqOPBNLWSHKh2a30DoXe8/edit?usp=sharing"",""นราธิวาส!J553"")"),0)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3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IFERROR(__xludf.DUMMYFUNCTION("IMPORTRANGE(""https://docs.google.com/spreadsheets/d/1IYY_tgx_IHuhSq3AJ5eI5OnqOPBNLWSHKh2a30DoXe8/edit?usp=sharing"",""นราธิวาส!J554"")"),0)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3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IFERROR(__xludf.DUMMYFUNCTION("IMPORTRANGE(""https://docs.google.com/spreadsheets/d/1IYY_tgx_IHuhSq3AJ5eI5OnqOPBNLWSHKh2a30DoXe8/edit?usp=sharing"",""นราธิวาส!J555"")"),0)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3">
      <c r="A661" s="525"/>
      <c r="B661" s="526"/>
      <c r="C661" s="526"/>
      <c r="D661" s="526"/>
      <c r="E661" s="526"/>
      <c r="F661" s="598" t="s">
        <v>252</v>
      </c>
      <c r="G661" s="575"/>
      <c r="H661" s="529" t="s">
        <v>37</v>
      </c>
      <c r="I661" s="550"/>
      <c r="J661" s="547">
        <f ca="1">IFERROR(__xludf.DUMMYFUNCTION("IMPORTRANGE(""https://docs.google.com/spreadsheets/d/1IYY_tgx_IHuhSq3AJ5eI5OnqOPBNLWSHKh2a30DoXe8/edit?usp=sharing"",""นราธิวาส!J556"")"),0)</f>
        <v>0</v>
      </c>
      <c r="K661" s="548"/>
      <c r="L661" s="535">
        <f ca="1">IFERROR(__xludf.DUMMYFUNCTION("IMPORTRANGE(""https://docs.google.com/spreadsheets/d/1IYY_tgx_IHuhSq3AJ5eI5OnqOPBNLWSHKh2a30DoXe8/edit?usp=sharing"",""นราธิวาส!L556"")"),0)</f>
        <v>0</v>
      </c>
      <c r="M661" s="534"/>
      <c r="N661" s="549">
        <f ca="1">IFERROR(__xludf.DUMMYFUNCTION("IMPORTRANGE(""https://docs.google.com/spreadsheets/d/1IYY_tgx_IHuhSq3AJ5eI5OnqOPBNLWSHKh2a30DoXe8/edit?usp=sharing"",""นราธิวาส!M556"")"),0)</f>
        <v>0</v>
      </c>
      <c r="O661" s="548">
        <f ca="1">IF(L661&gt;0,N661*100/L661,0)</f>
        <v>0</v>
      </c>
      <c r="P661" s="548"/>
    </row>
    <row r="662" spans="1:16" ht="21.75" customHeight="1" x14ac:dyDescent="0.3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IFERROR(__xludf.DUMMYFUNCTION("IMPORTRANGE(""https://docs.google.com/spreadsheets/d/1IYY_tgx_IHuhSq3AJ5eI5OnqOPBNLWSHKh2a30DoXe8/edit?usp=sharing"",""นราธิวาส!J557"")"),0)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3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IFERROR(__xludf.DUMMYFUNCTION("IMPORTRANGE(""https://docs.google.com/spreadsheets/d/1IYY_tgx_IHuhSq3AJ5eI5OnqOPBNLWSHKh2a30DoXe8/edit?usp=sharing"",""นราธิวาส!I558"")"),0)</f>
        <v>0</v>
      </c>
      <c r="J663" s="547">
        <f ca="1">IFERROR(__xludf.DUMMYFUNCTION("IMPORTRANGE(""https://docs.google.com/spreadsheets/d/1IYY_tgx_IHuhSq3AJ5eI5OnqOPBNLWSHKh2a30DoXe8/edit?usp=sharing"",""นราธิวาส!J558"")"),0)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3">
      <c r="A664" s="525"/>
      <c r="B664" s="526"/>
      <c r="C664" s="526"/>
      <c r="D664" s="526"/>
      <c r="E664" s="526"/>
      <c r="F664" s="598" t="s">
        <v>253</v>
      </c>
      <c r="G664" s="575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3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IFERROR(__xludf.DUMMYFUNCTION("IMPORTRANGE(""https://docs.google.com/spreadsheets/d/1IYY_tgx_IHuhSq3AJ5eI5OnqOPBNLWSHKh2a30DoXe8/edit?usp=sharing"",""นราธิวาส!I560"")"),0)</f>
        <v>0</v>
      </c>
      <c r="J665" s="547">
        <f ca="1">IFERROR(__xludf.DUMMYFUNCTION("IMPORTRANGE(""https://docs.google.com/spreadsheets/d/1IYY_tgx_IHuhSq3AJ5eI5OnqOPBNLWSHKh2a30DoXe8/edit?usp=sharing"",""นราธิวาส!J560"")"),0)</f>
        <v>0</v>
      </c>
      <c r="K665" s="548">
        <f ca="1">IF(I665&gt;0,J665*100/I665,0)</f>
        <v>0</v>
      </c>
      <c r="L665" s="535">
        <f ca="1">IFERROR(__xludf.DUMMYFUNCTION("IMPORTRANGE(""https://docs.google.com/spreadsheets/d/1IYY_tgx_IHuhSq3AJ5eI5OnqOPBNLWSHKh2a30DoXe8/edit?usp=sharing"",""นราธิวาส!L560"")"),0)</f>
        <v>0</v>
      </c>
      <c r="M665" s="534"/>
      <c r="N665" s="549">
        <f ca="1">IFERROR(__xludf.DUMMYFUNCTION("IMPORTRANGE(""https://docs.google.com/spreadsheets/d/1IYY_tgx_IHuhSq3AJ5eI5OnqOPBNLWSHKh2a30DoXe8/edit?usp=sharing"",""นราธิวาส!M560"")"),0)</f>
        <v>0</v>
      </c>
      <c r="O665" s="548">
        <f ca="1">IF(L665&gt;0,N665*100/L665,0)</f>
        <v>0</v>
      </c>
      <c r="P665" s="548"/>
    </row>
    <row r="666" spans="1:16" ht="21.75" customHeight="1" x14ac:dyDescent="0.3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IFERROR(__xludf.DUMMYFUNCTION("IMPORTRANGE(""https://docs.google.com/spreadsheets/d/1IYY_tgx_IHuhSq3AJ5eI5OnqOPBNLWSHKh2a30DoXe8/edit?usp=sharing"",""นราธิวาส!J561"")"),0)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3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IFERROR(__xludf.DUMMYFUNCTION("IMPORTRANGE(""https://docs.google.com/spreadsheets/d/1IYY_tgx_IHuhSq3AJ5eI5OnqOPBNLWSHKh2a30DoXe8/edit?usp=sharing"",""นราธิวาส!J562"")"),0)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3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IFERROR(__xludf.DUMMYFUNCTION("IMPORTRANGE(""https://docs.google.com/spreadsheets/d/1IYY_tgx_IHuhSq3AJ5eI5OnqOPBNLWSHKh2a30DoXe8/edit?usp=sharing"",""นราธิวาส!I563"")"),0)</f>
        <v>0</v>
      </c>
      <c r="J668" s="547">
        <f ca="1">IFERROR(__xludf.DUMMYFUNCTION("IMPORTRANGE(""https://docs.google.com/spreadsheets/d/1IYY_tgx_IHuhSq3AJ5eI5OnqOPBNLWSHKh2a30DoXe8/edit?usp=sharing"",""นราธิวาส!J563"")"),0)</f>
        <v>0</v>
      </c>
      <c r="K668" s="548">
        <f ca="1">IF(I668&gt;0,J668*100/I668,0)</f>
        <v>0</v>
      </c>
      <c r="L668" s="535">
        <f ca="1">IFERROR(__xludf.DUMMYFUNCTION("IMPORTRANGE(""https://docs.google.com/spreadsheets/d/1IYY_tgx_IHuhSq3AJ5eI5OnqOPBNLWSHKh2a30DoXe8/edit?usp=sharing"",""นราธิวาส!L563"")"),0)</f>
        <v>0</v>
      </c>
      <c r="M668" s="534"/>
      <c r="N668" s="549">
        <f ca="1">IFERROR(__xludf.DUMMYFUNCTION("IMPORTRANGE(""https://docs.google.com/spreadsheets/d/1IYY_tgx_IHuhSq3AJ5eI5OnqOPBNLWSHKh2a30DoXe8/edit?usp=sharing"",""นราธิวาส!M563"")"),0)</f>
        <v>0</v>
      </c>
      <c r="O668" s="548">
        <f ca="1">IF(L668&gt;0,N668*100/L668,0)</f>
        <v>0</v>
      </c>
      <c r="P668" s="548"/>
    </row>
    <row r="669" spans="1:16" ht="21.75" customHeight="1" x14ac:dyDescent="0.3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IFERROR(__xludf.DUMMYFUNCTION("IMPORTRANGE(""https://docs.google.com/spreadsheets/d/1IYY_tgx_IHuhSq3AJ5eI5OnqOPBNLWSHKh2a30DoXe8/edit?usp=sharing"",""นราธิวาส!J564"")"),0)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3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IFERROR(__xludf.DUMMYFUNCTION("IMPORTRANGE(""https://docs.google.com/spreadsheets/d/1IYY_tgx_IHuhSq3AJ5eI5OnqOPBNLWSHKh2a30DoXe8/edit?usp=sharing"",""นราธิวาส!J565"")"),0)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3">
      <c r="A671" s="525"/>
      <c r="B671" s="526"/>
      <c r="C671" s="526"/>
      <c r="D671" s="526"/>
      <c r="E671" s="526"/>
      <c r="F671" s="598" t="s">
        <v>256</v>
      </c>
      <c r="G671" s="575"/>
      <c r="H671" s="529" t="s">
        <v>122</v>
      </c>
      <c r="I671" s="546">
        <f ca="1">IFERROR(__xludf.DUMMYFUNCTION("IMPORTRANGE(""https://docs.google.com/spreadsheets/d/1IYY_tgx_IHuhSq3AJ5eI5OnqOPBNLWSHKh2a30DoXe8/edit?usp=sharing"",""นราธิวาส!I566"")"),0)</f>
        <v>0</v>
      </c>
      <c r="J671" s="547">
        <f ca="1">J674+J677</f>
        <v>0</v>
      </c>
      <c r="K671" s="548">
        <f ca="1">IF(I671&gt;0,J671*100/I671,0)</f>
        <v>0</v>
      </c>
      <c r="L671" s="535">
        <f ca="1">IFERROR(__xludf.DUMMYFUNCTION("IMPORTRANGE(""https://docs.google.com/spreadsheets/d/1IYY_tgx_IHuhSq3AJ5eI5OnqOPBNLWSHKh2a30DoXe8/edit?usp=sharing"",""นราธิวาส!L566"")"),0)</f>
        <v>0</v>
      </c>
      <c r="M671" s="534"/>
      <c r="N671" s="549">
        <f ca="1">IFERROR(__xludf.DUMMYFUNCTION("IMPORTRANGE(""https://docs.google.com/spreadsheets/d/1IYY_tgx_IHuhSq3AJ5eI5OnqOPBNLWSHKh2a30DoXe8/edit?usp=sharing"",""นราธิวาส!M566"")"),0)</f>
        <v>0</v>
      </c>
      <c r="O671" s="548">
        <f ca="1">IF(L671&gt;0,N671*100/L671,0)</f>
        <v>0</v>
      </c>
      <c r="P671" s="548"/>
    </row>
    <row r="672" spans="1:16" ht="21.75" customHeight="1" x14ac:dyDescent="0.3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IFERROR(__xludf.DUMMYFUNCTION("IMPORTRANGE(""https://docs.google.com/spreadsheets/d/1IYY_tgx_IHuhSq3AJ5eI5OnqOPBNLWSHKh2a30DoXe8/edit?usp=sharing"",""นราธิวาส!J567"")"),0)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3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IFERROR(__xludf.DUMMYFUNCTION("IMPORTRANGE(""https://docs.google.com/spreadsheets/d/1IYY_tgx_IHuhSq3AJ5eI5OnqOPBNLWSHKh2a30DoXe8/edit?usp=sharing"",""นราธิวาส!J568"")"),0)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3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IFERROR(__xludf.DUMMYFUNCTION("IMPORTRANGE(""https://docs.google.com/spreadsheets/d/1IYY_tgx_IHuhSq3AJ5eI5OnqOPBNLWSHKh2a30DoXe8/edit?usp=sharing"",""นราธิวาส!J569"")"),0)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3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IFERROR(__xludf.DUMMYFUNCTION("IMPORTRANGE(""https://docs.google.com/spreadsheets/d/1IYY_tgx_IHuhSq3AJ5eI5OnqOPBNLWSHKh2a30DoXe8/edit?usp=sharing"",""นราธิวาส!J570"")"),0)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3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IFERROR(__xludf.DUMMYFUNCTION("IMPORTRANGE(""https://docs.google.com/spreadsheets/d/1IYY_tgx_IHuhSq3AJ5eI5OnqOPBNLWSHKh2a30DoXe8/edit?usp=sharing"",""นราธิวาส!J571"")"),0)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3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IFERROR(__xludf.DUMMYFUNCTION("IMPORTRANGE(""https://docs.google.com/spreadsheets/d/1IYY_tgx_IHuhSq3AJ5eI5OnqOPBNLWSHKh2a30DoXe8/edit?usp=sharing"",""นราธิวาส!J572"")"),0)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2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2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2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2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2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2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2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2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2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2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2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2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2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2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2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2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2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2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2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2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2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2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2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2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2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2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2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2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2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2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2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2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2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2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2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2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2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2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2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2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2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2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2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2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2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2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2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2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2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2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2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2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2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2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2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2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2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2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2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2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2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2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2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2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2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2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2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2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2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2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2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2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2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2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2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2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2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2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2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2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2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2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2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2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2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2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2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2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2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2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2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2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2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2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2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2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2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2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2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2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2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2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2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2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2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2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2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2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2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2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2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2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2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2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2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2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2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2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2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2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2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2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2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2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2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2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2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2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2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2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2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2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2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2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2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2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2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2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2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2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2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2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2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2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2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2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2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2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2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2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2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2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2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2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2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2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2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2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2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2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2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2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2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2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2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2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2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2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2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2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2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2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2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2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2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2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2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2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2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2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2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2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2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2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2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2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2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2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2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2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2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2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2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2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2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2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2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2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2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2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2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2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2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2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2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2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2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2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2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2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2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2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2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2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2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2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2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2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2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2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2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2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2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2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2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2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2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2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2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2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2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2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2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2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2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2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2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2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2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2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2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2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2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2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2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2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2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2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2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2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2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2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2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2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2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2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2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2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2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2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2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2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2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2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2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2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2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2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2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2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2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2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2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2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2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2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2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2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2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2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2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2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2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2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2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2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2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2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2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2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2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2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2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2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2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2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2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2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2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2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2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2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2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2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2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2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2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2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2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2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2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2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2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2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2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2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2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2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2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2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2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2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2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2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2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2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2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2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2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2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2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2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2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2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2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2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2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2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2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2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2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2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2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2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2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2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2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2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2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2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2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2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2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2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2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2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2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2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2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2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2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2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2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2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2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2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2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2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2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2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2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2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2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2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2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2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2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2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2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2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2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2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2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2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2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2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2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2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2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2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2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2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2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2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2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2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2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2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2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2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2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2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2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2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2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2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2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2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2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2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2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2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2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2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2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2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2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2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2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2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2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2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2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2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2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2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2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2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2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2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2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2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2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2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2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2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2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2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2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2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2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2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2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2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2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2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2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2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2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2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2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2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2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2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2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2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2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2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2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2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2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2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2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2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2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2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19685039370078741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32" max="16383" man="1"/>
    <brk id="626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86" t="s">
        <v>0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  <c r="N1" s="586"/>
      <c r="O1" s="586"/>
      <c r="P1" s="586"/>
    </row>
    <row r="2" spans="1:16" ht="18" customHeight="1" x14ac:dyDescent="0.25">
      <c r="A2" s="586" t="s">
        <v>271</v>
      </c>
      <c r="B2" s="586"/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86"/>
      <c r="P2" s="586"/>
    </row>
    <row r="3" spans="1:16" ht="18" customHeight="1" x14ac:dyDescent="0.25">
      <c r="A3" s="586" t="s">
        <v>290</v>
      </c>
      <c r="B3" s="586"/>
      <c r="C3" s="586"/>
      <c r="D3" s="586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  <c r="P3" s="586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2" t="s">
        <v>2</v>
      </c>
      <c r="B5" s="593"/>
      <c r="C5" s="593"/>
      <c r="D5" s="593"/>
      <c r="E5" s="593"/>
      <c r="F5" s="593"/>
      <c r="G5" s="594"/>
      <c r="H5" s="587" t="s">
        <v>3</v>
      </c>
      <c r="I5" s="589" t="s">
        <v>4</v>
      </c>
      <c r="J5" s="580"/>
      <c r="K5" s="581"/>
      <c r="L5" s="590" t="s">
        <v>5</v>
      </c>
      <c r="M5" s="581"/>
      <c r="N5" s="591" t="s">
        <v>6</v>
      </c>
      <c r="O5" s="580"/>
      <c r="P5" s="581"/>
    </row>
    <row r="6" spans="1:16" ht="21.75" customHeight="1" x14ac:dyDescent="0.25">
      <c r="A6" s="595"/>
      <c r="B6" s="596"/>
      <c r="C6" s="596"/>
      <c r="D6" s="596"/>
      <c r="E6" s="596"/>
      <c r="F6" s="596"/>
      <c r="G6" s="597"/>
      <c r="H6" s="58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5" t="s">
        <v>15</v>
      </c>
      <c r="B7" s="580"/>
      <c r="C7" s="580"/>
      <c r="D7" s="580"/>
      <c r="E7" s="580"/>
      <c r="F7" s="580"/>
      <c r="G7" s="58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4" t="s">
        <v>17</v>
      </c>
      <c r="E8" s="573"/>
      <c r="F8" s="573"/>
      <c r="G8" s="573"/>
      <c r="H8" s="20" t="s">
        <v>12</v>
      </c>
      <c r="I8" s="21"/>
      <c r="J8" s="21"/>
      <c r="K8" s="22"/>
      <c r="L8" s="23">
        <f t="shared" ref="L8:N8" ca="1" si="0">L9+L10</f>
        <v>3028811.4699999997</v>
      </c>
      <c r="M8" s="23">
        <f t="shared" ca="1" si="0"/>
        <v>2307305.4699999997</v>
      </c>
      <c r="N8" s="23">
        <f t="shared" ca="1" si="0"/>
        <v>2841720.85</v>
      </c>
      <c r="O8" s="22">
        <f t="shared" ref="O8:O16" ca="1" si="1">IF(L8&gt;0,N8*100/L8,0)</f>
        <v>93.822969113359846</v>
      </c>
      <c r="P8" s="22">
        <f t="shared" ref="P8:P16" ca="1" si="2">IF(M8&gt;0,N8*100/M8,0)</f>
        <v>123.16188241862922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3028811.4699999997</v>
      </c>
      <c r="M10" s="30">
        <f t="shared" ca="1" si="4"/>
        <v>2307305.4699999997</v>
      </c>
      <c r="N10" s="30">
        <f t="shared" ca="1" si="4"/>
        <v>2841720.85</v>
      </c>
      <c r="O10" s="29">
        <f t="shared" ca="1" si="1"/>
        <v>93.822969113359846</v>
      </c>
      <c r="P10" s="29">
        <f t="shared" ca="1" si="2"/>
        <v>123.16188241862922</v>
      </c>
    </row>
    <row r="11" spans="1:16" ht="21.75" customHeight="1" x14ac:dyDescent="0.3">
      <c r="A11" s="31"/>
      <c r="B11" s="32"/>
      <c r="C11" s="33" t="s">
        <v>16</v>
      </c>
      <c r="D11" s="574" t="s">
        <v>20</v>
      </c>
      <c r="E11" s="575"/>
      <c r="F11" s="57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2987811.4699999997</v>
      </c>
      <c r="M12" s="38">
        <f t="shared" ca="1" si="6"/>
        <v>2294805.4699999997</v>
      </c>
      <c r="N12" s="38">
        <f t="shared" ca="1" si="6"/>
        <v>2800720.85</v>
      </c>
      <c r="O12" s="38">
        <f t="shared" ca="1" si="1"/>
        <v>93.73820530918573</v>
      </c>
      <c r="P12" s="38">
        <f t="shared" ca="1" si="2"/>
        <v>122.04611182140856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1851380.47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1136431</v>
      </c>
      <c r="M14" s="38">
        <f t="shared" si="8"/>
        <v>0</v>
      </c>
      <c r="N14" s="38">
        <f t="shared" ca="1" si="8"/>
        <v>714946.80999999994</v>
      </c>
      <c r="O14" s="41">
        <f t="shared" ca="1" si="1"/>
        <v>62.911589880951858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4" t="s">
        <v>23</v>
      </c>
      <c r="E15" s="57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41000</v>
      </c>
      <c r="M16" s="38">
        <f t="shared" ca="1" si="10"/>
        <v>12500</v>
      </c>
      <c r="N16" s="38">
        <f t="shared" ca="1" si="10"/>
        <v>41000</v>
      </c>
      <c r="O16" s="50">
        <f t="shared" ca="1" si="1"/>
        <v>100</v>
      </c>
      <c r="P16" s="50">
        <f t="shared" ca="1" si="2"/>
        <v>328</v>
      </c>
    </row>
    <row r="17" spans="1:16" ht="21.75" customHeight="1" x14ac:dyDescent="0.3">
      <c r="A17" s="585" t="s">
        <v>24</v>
      </c>
      <c r="B17" s="580"/>
      <c r="C17" s="580"/>
      <c r="D17" s="580"/>
      <c r="E17" s="580"/>
      <c r="F17" s="580"/>
      <c r="G17" s="58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4" t="s">
        <v>17</v>
      </c>
      <c r="E18" s="573"/>
      <c r="F18" s="573"/>
      <c r="G18" s="573"/>
      <c r="H18" s="20" t="s">
        <v>12</v>
      </c>
      <c r="I18" s="21"/>
      <c r="J18" s="21"/>
      <c r="K18" s="22"/>
      <c r="L18" s="23">
        <f t="shared" ref="L18:N18" ca="1" si="11">L19+L20</f>
        <v>2263045.4699999997</v>
      </c>
      <c r="M18" s="23">
        <f t="shared" ca="1" si="11"/>
        <v>2307305.4699999997</v>
      </c>
      <c r="N18" s="23">
        <f t="shared" ca="1" si="11"/>
        <v>2126774.04</v>
      </c>
      <c r="O18" s="22">
        <f t="shared" ref="O18:O20" ca="1" si="12">IF(L18&gt;0,N18*100/L18,0)</f>
        <v>93.978405126786967</v>
      </c>
      <c r="P18" s="22">
        <f t="shared" ref="P18:P26" ca="1" si="13">IF(M18&gt;0,N18*100/M18,0)</f>
        <v>92.175659775122895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2263045.4699999997</v>
      </c>
      <c r="M20" s="30">
        <f t="shared" ca="1" si="15"/>
        <v>2307305.4699999997</v>
      </c>
      <c r="N20" s="30">
        <f t="shared" ca="1" si="15"/>
        <v>2126774.04</v>
      </c>
      <c r="O20" s="29">
        <f t="shared" ca="1" si="12"/>
        <v>93.978405126786967</v>
      </c>
      <c r="P20" s="29">
        <f t="shared" ca="1" si="13"/>
        <v>92.175659775122895</v>
      </c>
    </row>
    <row r="21" spans="1:16" ht="21.75" customHeight="1" x14ac:dyDescent="0.3">
      <c r="A21" s="31"/>
      <c r="B21" s="32"/>
      <c r="C21" s="33" t="s">
        <v>16</v>
      </c>
      <c r="D21" s="574" t="s">
        <v>20</v>
      </c>
      <c r="E21" s="575"/>
      <c r="F21" s="575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2222045.4699999997</v>
      </c>
      <c r="M22" s="42">
        <f t="shared" ca="1" si="18"/>
        <v>2294805.4699999997</v>
      </c>
      <c r="N22" s="41">
        <f t="shared" ca="1" si="18"/>
        <v>2085774.04</v>
      </c>
      <c r="O22" s="41">
        <f t="shared" ca="1" si="17"/>
        <v>93.867297864071176</v>
      </c>
      <c r="P22" s="41">
        <f t="shared" ca="1" si="13"/>
        <v>90.891104595458373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1851380.47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370665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4" t="s">
        <v>23</v>
      </c>
      <c r="E25" s="575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41000</v>
      </c>
      <c r="M26" s="50">
        <f t="shared" ca="1" si="22"/>
        <v>12500</v>
      </c>
      <c r="N26" s="50">
        <f t="shared" ca="1" si="22"/>
        <v>41000</v>
      </c>
      <c r="O26" s="50">
        <f t="shared" ca="1" si="17"/>
        <v>100</v>
      </c>
      <c r="P26" s="50">
        <f t="shared" ca="1" si="13"/>
        <v>328</v>
      </c>
    </row>
    <row r="27" spans="1:16" ht="21.75" customHeight="1" x14ac:dyDescent="0.3">
      <c r="A27" s="585" t="s">
        <v>25</v>
      </c>
      <c r="B27" s="580"/>
      <c r="C27" s="580"/>
      <c r="D27" s="580"/>
      <c r="E27" s="580"/>
      <c r="F27" s="580"/>
      <c r="G27" s="58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4" t="s">
        <v>17</v>
      </c>
      <c r="E28" s="573"/>
      <c r="F28" s="573"/>
      <c r="G28" s="573"/>
      <c r="H28" s="20" t="s">
        <v>12</v>
      </c>
      <c r="I28" s="21"/>
      <c r="J28" s="21"/>
      <c r="K28" s="22"/>
      <c r="L28" s="23">
        <f t="shared" ref="L28:N28" ca="1" si="23">L29+L30</f>
        <v>765766</v>
      </c>
      <c r="M28" s="23">
        <f t="shared" si="23"/>
        <v>0</v>
      </c>
      <c r="N28" s="23">
        <f t="shared" ca="1" si="23"/>
        <v>714946.80999999994</v>
      </c>
      <c r="O28" s="22">
        <f t="shared" ref="O28:O30" ca="1" si="24">IF(L28&gt;0,N28*100/L28,0)</f>
        <v>93.363613688776994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765766</v>
      </c>
      <c r="M30" s="30">
        <f t="shared" si="27"/>
        <v>0</v>
      </c>
      <c r="N30" s="30">
        <f t="shared" ca="1" si="27"/>
        <v>714946.80999999994</v>
      </c>
      <c r="O30" s="29">
        <f t="shared" ca="1" si="24"/>
        <v>93.363613688776994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4" t="s">
        <v>20</v>
      </c>
      <c r="E31" s="575"/>
      <c r="F31" s="575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765766</v>
      </c>
      <c r="M32" s="41">
        <f t="shared" si="30"/>
        <v>0</v>
      </c>
      <c r="N32" s="41">
        <f t="shared" ca="1" si="30"/>
        <v>714946.80999999994</v>
      </c>
      <c r="O32" s="41">
        <f t="shared" ca="1" si="29"/>
        <v>93.363613688776994</v>
      </c>
      <c r="P32" s="41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765766</v>
      </c>
      <c r="M34" s="41">
        <f t="shared" si="32"/>
        <v>0</v>
      </c>
      <c r="N34" s="41">
        <f t="shared" ca="1" si="32"/>
        <v>714946.80999999994</v>
      </c>
      <c r="O34" s="41">
        <f t="shared" ca="1" si="29"/>
        <v>93.363613688776994</v>
      </c>
      <c r="P34" s="41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4" t="s">
        <v>23</v>
      </c>
      <c r="E35" s="575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2263045.4699999997</v>
      </c>
      <c r="M37" s="55">
        <f t="shared" ca="1" si="33"/>
        <v>2307305.4699999997</v>
      </c>
      <c r="N37" s="55">
        <f t="shared" ca="1" si="33"/>
        <v>2126774.04</v>
      </c>
      <c r="O37" s="56">
        <f t="shared" ca="1" si="29"/>
        <v>93.978405126786967</v>
      </c>
      <c r="P37" s="56">
        <f t="shared" ca="1" si="25"/>
        <v>92.175659775122895</v>
      </c>
    </row>
    <row r="38" spans="1:16" ht="21.75" customHeight="1" x14ac:dyDescent="0.3">
      <c r="A38" s="579" t="s">
        <v>27</v>
      </c>
      <c r="B38" s="580"/>
      <c r="C38" s="580"/>
      <c r="D38" s="580"/>
      <c r="E38" s="580"/>
      <c r="F38" s="580"/>
      <c r="G38" s="581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82" t="s">
        <v>28</v>
      </c>
      <c r="C39" s="573"/>
      <c r="D39" s="573"/>
      <c r="E39" s="573"/>
      <c r="F39" s="573"/>
      <c r="G39" s="573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83" t="s">
        <v>17</v>
      </c>
      <c r="E41" s="575"/>
      <c r="F41" s="575"/>
      <c r="G41" s="575"/>
      <c r="H41" s="76" t="s">
        <v>12</v>
      </c>
      <c r="I41" s="77"/>
      <c r="J41" s="77"/>
      <c r="K41" s="78"/>
      <c r="L41" s="79">
        <f t="shared" ref="L41:N41" ca="1" si="34">L42+L43</f>
        <v>634600</v>
      </c>
      <c r="M41" s="79">
        <f t="shared" ca="1" si="34"/>
        <v>606100</v>
      </c>
      <c r="N41" s="79">
        <f t="shared" ca="1" si="34"/>
        <v>572490.51</v>
      </c>
      <c r="O41" s="78">
        <f t="shared" ref="O41:O43" ca="1" si="35">IF(L41&gt;0,N41*100/L41,0)</f>
        <v>90.212812795461701</v>
      </c>
      <c r="P41" s="78">
        <f t="shared" ref="P41:P43" ca="1" si="36">IF(M41&gt;0,N41*100/M41,0)</f>
        <v>94.45479458835176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634600</v>
      </c>
      <c r="M43" s="79">
        <f t="shared" ca="1" si="38"/>
        <v>606100</v>
      </c>
      <c r="N43" s="79">
        <f t="shared" ca="1" si="38"/>
        <v>572490.51</v>
      </c>
      <c r="O43" s="78">
        <f t="shared" ca="1" si="35"/>
        <v>90.212812795461701</v>
      </c>
      <c r="P43" s="78">
        <f t="shared" ca="1" si="36"/>
        <v>94.45479458835176</v>
      </c>
    </row>
    <row r="44" spans="1:16" ht="21.75" customHeight="1" x14ac:dyDescent="0.3">
      <c r="A44" s="80"/>
      <c r="B44" s="81"/>
      <c r="C44" s="82" t="s">
        <v>16</v>
      </c>
      <c r="D44" s="576" t="s">
        <v>20</v>
      </c>
      <c r="E44" s="575"/>
      <c r="F44" s="575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606100</v>
      </c>
      <c r="M45" s="91">
        <f ca="1">IFERROR(__xludf.DUMMYFUNCTION("IMPORTRANGE(""https://docs.google.com/spreadsheets/d/1Yj_ptqi66GCucihVvJfMjLAmec39IyEx_6qawtMGysU/edit?usp=sharing"",""สบก!Q86"")"),606100)</f>
        <v>606100</v>
      </c>
      <c r="N45" s="91">
        <f ca="1">IFERROR(__xludf.DUMMYFUNCTION("IMPORTRANGE(""https://docs.google.com/spreadsheets/d/1Yj_ptqi66GCucihVvJfMjLAmec39IyEx_6qawtMGysU/edit?usp=sharing"",""สบก!R86"")"),543990.51)</f>
        <v>543990.51</v>
      </c>
      <c r="O45" s="92">
        <f ca="1">IF(L45&gt;0,N45*100/L45,0)</f>
        <v>89.752600230984982</v>
      </c>
      <c r="P45" s="92">
        <f ca="1">IF(M45&gt;0,N45*100/M45,0)</f>
        <v>89.752600230984982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IFERROR(__xludf.DUMMYFUNCTION("IMPORTRANGE(""https://docs.google.com/spreadsheets/d/1Yj_ptqi66GCucihVvJfMjLAmec39IyEx_6qawtMGysU/edit?usp=sharing"",""สบก!M86"")"),606100)</f>
        <v>606100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IFERROR(__xludf.DUMMYFUNCTION("IMPORTRANGE(""https://docs.google.com/spreadsheets/d/1Yj_ptqi66GCucihVvJfMjLAmec39IyEx_6qawtMGysU/edit?usp=sharing"",""สบก!N86"")"),0)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6" t="s">
        <v>23</v>
      </c>
      <c r="E48" s="57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IFERROR(__xludf.DUMMYFUNCTION("IMPORTRANGE(""https://docs.google.com/spreadsheets/d/1Yj_ptqi66GCucihVvJfMjLAmec39IyEx_6qawtMGysU/edit?usp=sharing"",""สบก!O86"")"),28500)</f>
        <v>28500</v>
      </c>
      <c r="M49" s="101"/>
      <c r="N49" s="91">
        <f ca="1">IFERROR(__xludf.DUMMYFUNCTION("IMPORTRANGE(""https://docs.google.com/spreadsheets/d/1Yj_ptqi66GCucihVvJfMjLAmec39IyEx_6qawtMGysU/edit?usp=sharing"",""สบก!S86"")"),28500)</f>
        <v>28500</v>
      </c>
      <c r="O49" s="101">
        <f ca="1">IF(L49&gt;0,N49*100/L49,0)</f>
        <v>100</v>
      </c>
      <c r="P49" s="101"/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577" t="s">
        <v>32</v>
      </c>
      <c r="C52" s="575"/>
      <c r="D52" s="575"/>
      <c r="E52" s="575"/>
      <c r="F52" s="575"/>
      <c r="G52" s="575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578" t="s">
        <v>17</v>
      </c>
      <c r="E53" s="575"/>
      <c r="F53" s="575"/>
      <c r="G53" s="575"/>
      <c r="H53" s="122" t="s">
        <v>12</v>
      </c>
      <c r="I53" s="123"/>
      <c r="J53" s="123"/>
      <c r="K53" s="124"/>
      <c r="L53" s="125">
        <f t="shared" ref="L53:N53" ca="1" si="39">L54+L55</f>
        <v>509680.47</v>
      </c>
      <c r="M53" s="125">
        <f t="shared" ca="1" si="39"/>
        <v>509680.47</v>
      </c>
      <c r="N53" s="125">
        <f t="shared" ca="1" si="39"/>
        <v>440490.47</v>
      </c>
      <c r="O53" s="124">
        <f t="shared" ref="O53:O55" ca="1" si="40">IF(L53&gt;0,N53*100/L53,0)</f>
        <v>86.424828088861247</v>
      </c>
      <c r="P53" s="124">
        <f t="shared" ref="P53:P55" ca="1" si="41">IF(M53&gt;0,N53*100/M53,0)</f>
        <v>86.424828088861247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509680.47</v>
      </c>
      <c r="M55" s="125">
        <f t="shared" ca="1" si="43"/>
        <v>509680.47</v>
      </c>
      <c r="N55" s="125">
        <f t="shared" ca="1" si="43"/>
        <v>440490.47</v>
      </c>
      <c r="O55" s="124">
        <f t="shared" ca="1" si="40"/>
        <v>86.424828088861247</v>
      </c>
      <c r="P55" s="124">
        <f t="shared" ca="1" si="41"/>
        <v>86.424828088861247</v>
      </c>
    </row>
    <row r="56" spans="1:16" ht="21.75" customHeight="1" x14ac:dyDescent="0.3">
      <c r="A56" s="80"/>
      <c r="B56" s="81"/>
      <c r="C56" s="82" t="s">
        <v>16</v>
      </c>
      <c r="D56" s="576" t="s">
        <v>20</v>
      </c>
      <c r="E56" s="575"/>
      <c r="F56" s="575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509680.47</v>
      </c>
      <c r="M57" s="91">
        <f ca="1">IFERROR(__xludf.DUMMYFUNCTION("IMPORTRANGE(""https://docs.google.com/spreadsheets/d/1Yj_ptqi66GCucihVvJfMjLAmec39IyEx_6qawtMGysU/edit?usp=sharing"",""สบก!Z86"")"),509680.47)</f>
        <v>509680.47</v>
      </c>
      <c r="N57" s="91">
        <f ca="1">IFERROR(__xludf.DUMMYFUNCTION("IMPORTRANGE(""https://docs.google.com/spreadsheets/d/1Yj_ptqi66GCucihVvJfMjLAmec39IyEx_6qawtMGysU/edit?usp=sharing"",""สบก!AA86"")"),440490.47)</f>
        <v>440490.47</v>
      </c>
      <c r="O57" s="92">
        <f ca="1">IF(L57&gt;0,N57*100/L57,0)</f>
        <v>86.424828088861247</v>
      </c>
      <c r="P57" s="92">
        <f ca="1">IF(M57&gt;0,N57*100/M57,0)</f>
        <v>86.424828088861247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IFERROR(__xludf.DUMMYFUNCTION("IMPORTRANGE(""https://docs.google.com/spreadsheets/d/1Yj_ptqi66GCucihVvJfMjLAmec39IyEx_6qawtMGysU/edit?usp=sharing"",""สบก!V86"")"),509680.47)</f>
        <v>509680.47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IFERROR(__xludf.DUMMYFUNCTION("IMPORTRANGE(""https://docs.google.com/spreadsheets/d/1Yj_ptqi66GCucihVvJfMjLAmec39IyEx_6qawtMGysU/edit?usp=sharing"",""สบก!W86"")"),0)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6" t="s">
        <v>23</v>
      </c>
      <c r="E60" s="57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IFERROR(__xludf.DUMMYFUNCTION("IMPORTRANGE(""https://docs.google.com/spreadsheets/d/1Yj_ptqi66GCucihVvJfMjLAmec39IyEx_6qawtMGysU/edit?usp=sharing"",""สบก!X86"")"),0)</f>
        <v>0</v>
      </c>
      <c r="M61" s="101"/>
      <c r="N61" s="91">
        <f ca="1">IFERROR(__xludf.DUMMYFUNCTION("IMPORTRANGE(""https://docs.google.com/spreadsheets/d/1Yj_ptqi66GCucihVvJfMjLAmec39IyEx_6qawtMGysU/edit?usp=sharing"",""สบก!AB86"")"),0)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IFERROR(__xludf.DUMMYFUNCTION("IMPORTRANGE(""https://docs.google.com/spreadsheets/d/1IYY_tgx_IHuhSq3AJ5eI5OnqOPBNLWSHKh2a30DoXe8/edit?usp=sharing"",""ปัตตานี!I9"")"),0)</f>
        <v>0</v>
      </c>
      <c r="J64" s="146">
        <f ca="1">IFERROR(__xludf.DUMMYFUNCTION("IMPORTRANGE(""https://docs.google.com/spreadsheets/d/1IYY_tgx_IHuhSq3AJ5eI5OnqOPBNLWSHKh2a30DoXe8/edit?usp=sharing"",""ปัตตานี!J9"")"),0)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IFERROR(__xludf.DUMMYFUNCTION("IMPORTRANGE(""https://docs.google.com/spreadsheets/d/1IYY_tgx_IHuhSq3AJ5eI5OnqOPBNLWSHKh2a30DoXe8/edit?usp=sharing"",""ปัตตานี!I10"")"),0)</f>
        <v>0</v>
      </c>
      <c r="J65" s="146">
        <f ca="1">IFERROR(__xludf.DUMMYFUNCTION("IMPORTRANGE(""https://docs.google.com/spreadsheets/d/1IYY_tgx_IHuhSq3AJ5eI5OnqOPBNLWSHKh2a30DoXe8/edit?usp=sharing"",""ปัตตานี!J10"")"),0)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2" t="s">
        <v>17</v>
      </c>
      <c r="E66" s="573"/>
      <c r="F66" s="573"/>
      <c r="G66" s="573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3">
      <c r="A69" s="162"/>
      <c r="B69" s="163"/>
      <c r="C69" s="163" t="s">
        <v>16</v>
      </c>
      <c r="D69" s="574" t="s">
        <v>20</v>
      </c>
      <c r="E69" s="575"/>
      <c r="F69" s="575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IFERROR(__xludf.DUMMYFUNCTION("IMPORTRANGE(""https://docs.google.com/spreadsheets/d/1Yj_ptqi66GCucihVvJfMjLAmec39IyEx_6qawtMGysU/edit?usp=sharing"",""สบก!AI86"")"),0)</f>
        <v>0</v>
      </c>
      <c r="N70" s="174">
        <f ca="1">IFERROR(__xludf.DUMMYFUNCTION("IMPORTRANGE(""https://docs.google.com/spreadsheets/d/1Yj_ptqi66GCucihVvJfMjLAmec39IyEx_6qawtMGysU/edit?usp=sharing"",""สบก!AJ86"")"),0)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IFERROR(__xludf.DUMMYFUNCTION("IMPORTRANGE(""https://docs.google.com/spreadsheets/d/1Yj_ptqi66GCucihVvJfMjLAmec39IyEx_6qawtMGysU/edit?usp=sharing"",""สบก!AE86"")"),0)</f>
        <v>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IFERROR(__xludf.DUMMYFUNCTION("IMPORTRANGE(""https://docs.google.com/spreadsheets/d/1Yj_ptqi66GCucihVvJfMjLAmec39IyEx_6qawtMGysU/edit?usp=sharing"",""สบก!AF86"")"),0)</f>
        <v>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6" t="s">
        <v>23</v>
      </c>
      <c r="E73" s="575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IFERROR(__xludf.DUMMYFUNCTION("IMPORTRANGE(""https://docs.google.com/spreadsheets/d/1Yj_ptqi66GCucihVvJfMjLAmec39IyEx_6qawtMGysU/edit?usp=sharing"",""สบก!AG86"")"),0)</f>
        <v>0</v>
      </c>
      <c r="M74" s="101"/>
      <c r="N74" s="91">
        <f ca="1">IFERROR(__xludf.DUMMYFUNCTION("IMPORTRANGE(""https://docs.google.com/spreadsheets/d/1Yj_ptqi66GCucihVvJfMjLAmec39IyEx_6qawtMGysU/edit?usp=sharing"",""สบก!AK86"")"),0)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IFERROR(__xludf.DUMMYFUNCTION("IMPORTRANGE(""https://docs.google.com/spreadsheets/d/1IYY_tgx_IHuhSq3AJ5eI5OnqOPBNLWSHKh2a30DoXe8/edit?usp=sharing"",""ปัตตานี!J16"")"),0)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IFERROR(__xludf.DUMMYFUNCTION("IMPORTRANGE(""https://docs.google.com/spreadsheets/d/1IYY_tgx_IHuhSq3AJ5eI5OnqOPBNLWSHKh2a30DoXe8/edit?usp=sharing"",""ปัตตานี!J17"")"),0)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IFERROR(__xludf.DUMMYFUNCTION("IMPORTRANGE(""https://docs.google.com/spreadsheets/d/1IYY_tgx_IHuhSq3AJ5eI5OnqOPBNLWSHKh2a30DoXe8/edit?usp=sharing"",""ปัตตานี!J18"")"),0)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IFERROR(__xludf.DUMMYFUNCTION("IMPORTRANGE(""https://docs.google.com/spreadsheets/d/1IYY_tgx_IHuhSq3AJ5eI5OnqOPBNLWSHKh2a30DoXe8/edit?usp=sharing"",""ปัตตานี!J19"")"),0)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IFERROR(__xludf.DUMMYFUNCTION("IMPORTRANGE(""https://docs.google.com/spreadsheets/d/1IYY_tgx_IHuhSq3AJ5eI5OnqOPBNLWSHKh2a30DoXe8/edit?usp=sharing"",""ปัตตานี!I20"")"),0)</f>
        <v>0</v>
      </c>
      <c r="J80" s="207">
        <f ca="1">IFERROR(__xludf.DUMMYFUNCTION("IMPORTRANGE(""https://docs.google.com/spreadsheets/d/1IYY_tgx_IHuhSq3AJ5eI5OnqOPBNLWSHKh2a30DoXe8/edit?usp=sharing"",""ปัตตานี!J20"")"),0)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IFERROR(__xludf.DUMMYFUNCTION("IMPORTRANGE(""https://docs.google.com/spreadsheets/d/1IYY_tgx_IHuhSq3AJ5eI5OnqOPBNLWSHKh2a30DoXe8/edit?usp=sharing"",""ปัตตานี!I21"")"),0)</f>
        <v>0</v>
      </c>
      <c r="J81" s="207">
        <f ca="1">IFERROR(__xludf.DUMMYFUNCTION("IMPORTRANGE(""https://docs.google.com/spreadsheets/d/1IYY_tgx_IHuhSq3AJ5eI5OnqOPBNLWSHKh2a30DoXe8/edit?usp=sharing"",""ปัตตานี!J21"")"),0)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IFERROR(__xludf.DUMMYFUNCTION("IMPORTRANGE(""https://docs.google.com/spreadsheets/d/1IYY_tgx_IHuhSq3AJ5eI5OnqOPBNLWSHKh2a30DoXe8/edit?usp=sharing"",""ปัตตานี!I22"")"),0)</f>
        <v>0</v>
      </c>
      <c r="J82" s="210">
        <f ca="1">IFERROR(__xludf.DUMMYFUNCTION("IMPORTRANGE(""https://docs.google.com/spreadsheets/d/1IYY_tgx_IHuhSq3AJ5eI5OnqOPBNLWSHKh2a30DoXe8/edit?usp=sharing"",""ปัตตานี!J22"")"),0)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IFERROR(__xludf.DUMMYFUNCTION("IMPORTRANGE(""https://docs.google.com/spreadsheets/d/1IYY_tgx_IHuhSq3AJ5eI5OnqOPBNLWSHKh2a30DoXe8/edit?usp=sharing"",""ปัตตานี!I23"")"),0)</f>
        <v>0</v>
      </c>
      <c r="J83" s="210">
        <f ca="1">IFERROR(__xludf.DUMMYFUNCTION("IMPORTRANGE(""https://docs.google.com/spreadsheets/d/1IYY_tgx_IHuhSq3AJ5eI5OnqOPBNLWSHKh2a30DoXe8/edit?usp=sharing"",""ปัตตานี!J23"")"),0)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IFERROR(__xludf.DUMMYFUNCTION("IMPORTRANGE(""https://docs.google.com/spreadsheets/d/1IYY_tgx_IHuhSq3AJ5eI5OnqOPBNLWSHKh2a30DoXe8/edit?usp=sharing"",""ปัตตานี!I24"")"),0)</f>
        <v>0</v>
      </c>
      <c r="J84" s="195">
        <f ca="1">IFERROR(__xludf.DUMMYFUNCTION("IMPORTRANGE(""https://docs.google.com/spreadsheets/d/1IYY_tgx_IHuhSq3AJ5eI5OnqOPBNLWSHKh2a30DoXe8/edit?usp=sharing"",""ปัตตานี!J24"")"),0)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IFERROR(__xludf.DUMMYFUNCTION("IMPORTRANGE(""https://docs.google.com/spreadsheets/d/1IYY_tgx_IHuhSq3AJ5eI5OnqOPBNLWSHKh2a30DoXe8/edit?usp=sharing"",""ปัตตานี!I25"")"),0)</f>
        <v>0</v>
      </c>
      <c r="J85" s="195">
        <f ca="1">IFERROR(__xludf.DUMMYFUNCTION("IMPORTRANGE(""https://docs.google.com/spreadsheets/d/1IYY_tgx_IHuhSq3AJ5eI5OnqOPBNLWSHKh2a30DoXe8/edit?usp=sharing"",""ปัตตานี!J25"")"),0)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IFERROR(__xludf.DUMMYFUNCTION("IMPORTRANGE(""https://docs.google.com/spreadsheets/d/1IYY_tgx_IHuhSq3AJ5eI5OnqOPBNLWSHKh2a30DoXe8/edit?usp=sharing"",""ปัตตานี!I26"")"),0)</f>
        <v>0</v>
      </c>
      <c r="J86" s="210">
        <f ca="1">IFERROR(__xludf.DUMMYFUNCTION("IMPORTRANGE(""https://docs.google.com/spreadsheets/d/1IYY_tgx_IHuhSq3AJ5eI5OnqOPBNLWSHKh2a30DoXe8/edit?usp=sharing"",""ปัตตานี!J26"")"),0)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IFERROR(__xludf.DUMMYFUNCTION("IMPORTRANGE(""https://docs.google.com/spreadsheets/d/1IYY_tgx_IHuhSq3AJ5eI5OnqOPBNLWSHKh2a30DoXe8/edit?usp=sharing"",""ปัตตานี!I27"")"),0)</f>
        <v>0</v>
      </c>
      <c r="J87" s="210">
        <f ca="1">IFERROR(__xludf.DUMMYFUNCTION("IMPORTRANGE(""https://docs.google.com/spreadsheets/d/1IYY_tgx_IHuhSq3AJ5eI5OnqOPBNLWSHKh2a30DoXe8/edit?usp=sharing"",""ปัตตานี!J27"")"),0)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IFERROR(__xludf.DUMMYFUNCTION("IMPORTRANGE(""https://docs.google.com/spreadsheets/d/1IYY_tgx_IHuhSq3AJ5eI5OnqOPBNLWSHKh2a30DoXe8/edit?usp=sharing"",""ปัตตานี!I28"")"),0)</f>
        <v>0</v>
      </c>
      <c r="J88" s="210">
        <f ca="1">IFERROR(__xludf.DUMMYFUNCTION("IMPORTRANGE(""https://docs.google.com/spreadsheets/d/1IYY_tgx_IHuhSq3AJ5eI5OnqOPBNLWSHKh2a30DoXe8/edit?usp=sharing"",""ปัตตานี!J28"")"),0)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IFERROR(__xludf.DUMMYFUNCTION("IMPORTRANGE(""https://docs.google.com/spreadsheets/d/1IYY_tgx_IHuhSq3AJ5eI5OnqOPBNLWSHKh2a30DoXe8/edit?usp=sharing"",""ปัตตานี!J29"")"),0)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IFERROR(__xludf.DUMMYFUNCTION("IMPORTRANGE(""https://docs.google.com/spreadsheets/d/1IYY_tgx_IHuhSq3AJ5eI5OnqOPBNLWSHKh2a30DoXe8/edit?usp=sharing"",""ปัตตานี!J30"")"),0)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IFERROR(__xludf.DUMMYFUNCTION("IMPORTRANGE(""https://docs.google.com/spreadsheets/d/1IYY_tgx_IHuhSq3AJ5eI5OnqOPBNLWSHKh2a30DoXe8/edit?usp=sharing"",""ปัตตานี!I32"")"),0)</f>
        <v>0</v>
      </c>
      <c r="J92" s="146">
        <f ca="1">IFERROR(__xludf.DUMMYFUNCTION("IMPORTRANGE(""https://docs.google.com/spreadsheets/d/1IYY_tgx_IHuhSq3AJ5eI5OnqOPBNLWSHKh2a30DoXe8/edit?usp=sharing"",""ปัตตานี!J32"")"),0)</f>
        <v>0</v>
      </c>
      <c r="K92" s="147">
        <f t="shared" ref="K92:K93" ca="1" si="51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IFERROR(__xludf.DUMMYFUNCTION("IMPORTRANGE(""https://docs.google.com/spreadsheets/d/1IYY_tgx_IHuhSq3AJ5eI5OnqOPBNLWSHKh2a30DoXe8/edit?usp=sharing"",""ปัตตานี!I33"")"),0)</f>
        <v>0</v>
      </c>
      <c r="J93" s="146">
        <f ca="1">IFERROR(__xludf.DUMMYFUNCTION("IMPORTRANGE(""https://docs.google.com/spreadsheets/d/1IYY_tgx_IHuhSq3AJ5eI5OnqOPBNLWSHKh2a30DoXe8/edit?usp=sharing"",""ปัตตานี!J33"")"),0)</f>
        <v>0</v>
      </c>
      <c r="K93" s="147">
        <f t="shared" ca="1" si="51"/>
        <v>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2" t="s">
        <v>17</v>
      </c>
      <c r="E94" s="573"/>
      <c r="F94" s="573"/>
      <c r="G94" s="573"/>
      <c r="H94" s="153" t="s">
        <v>12</v>
      </c>
      <c r="I94" s="166"/>
      <c r="J94" s="166"/>
      <c r="K94" s="167"/>
      <c r="L94" s="156">
        <f t="shared" ref="L94:N94" ca="1" si="52">L95+L96</f>
        <v>0</v>
      </c>
      <c r="M94" s="156">
        <f t="shared" ca="1" si="52"/>
        <v>0</v>
      </c>
      <c r="N94" s="156">
        <f t="shared" ca="1" si="52"/>
        <v>0</v>
      </c>
      <c r="O94" s="155">
        <f t="shared" ref="O94:O96" ca="1" si="53">IF(L94&gt;0,N94*100/L94,0)</f>
        <v>0</v>
      </c>
      <c r="P94" s="155">
        <f t="shared" ref="P94:P96" ca="1" si="54">IF(M94&gt;0,N94*100/M94,0)</f>
        <v>0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0</v>
      </c>
      <c r="M96" s="161">
        <f t="shared" ca="1" si="56"/>
        <v>0</v>
      </c>
      <c r="N96" s="161">
        <f t="shared" ca="1" si="56"/>
        <v>0</v>
      </c>
      <c r="O96" s="160">
        <f t="shared" ca="1" si="53"/>
        <v>0</v>
      </c>
      <c r="P96" s="160">
        <f t="shared" ca="1" si="54"/>
        <v>0</v>
      </c>
    </row>
    <row r="97" spans="1:16" ht="21.75" customHeight="1" x14ac:dyDescent="0.3">
      <c r="A97" s="162"/>
      <c r="B97" s="163"/>
      <c r="C97" s="163" t="s">
        <v>16</v>
      </c>
      <c r="D97" s="574" t="s">
        <v>20</v>
      </c>
      <c r="E97" s="575"/>
      <c r="F97" s="575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0</v>
      </c>
      <c r="M98" s="173">
        <f ca="1">IFERROR(__xludf.DUMMYFUNCTION("IMPORTRANGE(""https://docs.google.com/spreadsheets/d/1Yj_ptqi66GCucihVvJfMjLAmec39IyEx_6qawtMGysU/edit?usp=sharing"",""สบก!AR86"")"),0)</f>
        <v>0</v>
      </c>
      <c r="N98" s="174">
        <f ca="1">IFERROR(__xludf.DUMMYFUNCTION("IMPORTRANGE(""https://docs.google.com/spreadsheets/d/1Yj_ptqi66GCucihVvJfMjLAmec39IyEx_6qawtMGysU/edit?usp=sharing"",""สบก!AS86"")"),0)</f>
        <v>0</v>
      </c>
      <c r="O98" s="175">
        <f ca="1">IF(L98&gt;0,N98*100/L98,0)</f>
        <v>0</v>
      </c>
      <c r="P98" s="175">
        <f ca="1">IF(M98&gt;0,N98*100/M98,0)</f>
        <v>0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IFERROR(__xludf.DUMMYFUNCTION("IMPORTRANGE(""https://docs.google.com/spreadsheets/d/1Yj_ptqi66GCucihVvJfMjLAmec39IyEx_6qawtMGysU/edit?usp=sharing"",""สบก!AN86"")"),0)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IFERROR(__xludf.DUMMYFUNCTION("IMPORTRANGE(""https://docs.google.com/spreadsheets/d/1Yj_ptqi66GCucihVvJfMjLAmec39IyEx_6qawtMGysU/edit?usp=sharing"",""สบก!AO86"")"),0)</f>
        <v>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6" t="s">
        <v>23</v>
      </c>
      <c r="E101" s="575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IFERROR(__xludf.DUMMYFUNCTION("IMPORTRANGE(""https://docs.google.com/spreadsheets/d/1Yj_ptqi66GCucihVvJfMjLAmec39IyEx_6qawtMGysU/edit?usp=sharing"",""สบก!AP86"")"),0)</f>
        <v>0</v>
      </c>
      <c r="M102" s="101"/>
      <c r="N102" s="91">
        <f ca="1">IFERROR(__xludf.DUMMYFUNCTION("IMPORTRANGE(""https://docs.google.com/spreadsheets/d/1Yj_ptqi66GCucihVvJfMjLAmec39IyEx_6qawtMGysU/edit?usp=sharing"",""สบก!AT86"")"),0)</f>
        <v>0</v>
      </c>
      <c r="O102" s="101">
        <f ca="1">IF(L102&gt;0,N102*100/L102,0)</f>
        <v>0</v>
      </c>
      <c r="P102" s="101"/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IFERROR(__xludf.DUMMYFUNCTION("IMPORTRANGE(""https://docs.google.com/spreadsheets/d/1IYY_tgx_IHuhSq3AJ5eI5OnqOPBNLWSHKh2a30DoXe8/edit?usp=sharing"",""ปัตตานี!J39"")"),0)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IFERROR(__xludf.DUMMYFUNCTION("IMPORTRANGE(""https://docs.google.com/spreadsheets/d/1IYY_tgx_IHuhSq3AJ5eI5OnqOPBNLWSHKh2a30DoXe8/edit?usp=sharing"",""ปัตตานี!J40"")"),0)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IFERROR(__xludf.DUMMYFUNCTION("IMPORTRANGE(""https://docs.google.com/spreadsheets/d/1IYY_tgx_IHuhSq3AJ5eI5OnqOPBNLWSHKh2a30DoXe8/edit?usp=sharing"",""ปัตตานี!J41"")"),0)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IFERROR(__xludf.DUMMYFUNCTION("IMPORTRANGE(""https://docs.google.com/spreadsheets/d/1IYY_tgx_IHuhSq3AJ5eI5OnqOPBNLWSHKh2a30DoXe8/edit?usp=sharing"",""ปัตตานี!J42"")"),0)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IFERROR(__xludf.DUMMYFUNCTION("IMPORTRANGE(""https://docs.google.com/spreadsheets/d/1IYY_tgx_IHuhSq3AJ5eI5OnqOPBNLWSHKh2a30DoXe8/edit?usp=sharing"",""ปัตตานี!I43"")"),0)</f>
        <v>0</v>
      </c>
      <c r="J108" s="210">
        <f ca="1">IFERROR(__xludf.DUMMYFUNCTION("IMPORTRANGE(""https://docs.google.com/spreadsheets/d/1IYY_tgx_IHuhSq3AJ5eI5OnqOPBNLWSHKh2a30DoXe8/edit?usp=sharing"",""ปัตตานี!J43"")"),0)</f>
        <v>0</v>
      </c>
      <c r="K108" s="230">
        <f t="shared" ref="K108:K113" ca="1" si="57">IF(I108&gt;0,J108*100/I108,0)</f>
        <v>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IFERROR(__xludf.DUMMYFUNCTION("IMPORTRANGE(""https://docs.google.com/spreadsheets/d/1IYY_tgx_IHuhSq3AJ5eI5OnqOPBNLWSHKh2a30DoXe8/edit?usp=sharing"",""ปัตตานี!I44"")"),0)</f>
        <v>0</v>
      </c>
      <c r="J109" s="210">
        <f ca="1">IFERROR(__xludf.DUMMYFUNCTION("IMPORTRANGE(""https://docs.google.com/spreadsheets/d/1IYY_tgx_IHuhSq3AJ5eI5OnqOPBNLWSHKh2a30DoXe8/edit?usp=sharing"",""ปัตตานี!J44"")"),0)</f>
        <v>0</v>
      </c>
      <c r="K109" s="230">
        <f t="shared" ca="1" si="57"/>
        <v>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IFERROR(__xludf.DUMMYFUNCTION("IMPORTRANGE(""https://docs.google.com/spreadsheets/d/1IYY_tgx_IHuhSq3AJ5eI5OnqOPBNLWSHKh2a30DoXe8/edit?usp=sharing"",""ปัตตานี!I45"")"),0)</f>
        <v>0</v>
      </c>
      <c r="J110" s="210">
        <f ca="1">IFERROR(__xludf.DUMMYFUNCTION("IMPORTRANGE(""https://docs.google.com/spreadsheets/d/1IYY_tgx_IHuhSq3AJ5eI5OnqOPBNLWSHKh2a30DoXe8/edit?usp=sharing"",""ปัตตานี!J45"")"),0)</f>
        <v>0</v>
      </c>
      <c r="K110" s="230">
        <f t="shared" ca="1" si="57"/>
        <v>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IFERROR(__xludf.DUMMYFUNCTION("IMPORTRANGE(""https://docs.google.com/spreadsheets/d/1IYY_tgx_IHuhSq3AJ5eI5OnqOPBNLWSHKh2a30DoXe8/edit?usp=sharing"",""ปัตตานี!I46"")"),0)</f>
        <v>0</v>
      </c>
      <c r="J111" s="210">
        <f ca="1">IFERROR(__xludf.DUMMYFUNCTION("IMPORTRANGE(""https://docs.google.com/spreadsheets/d/1IYY_tgx_IHuhSq3AJ5eI5OnqOPBNLWSHKh2a30DoXe8/edit?usp=sharing"",""ปัตตานี!J46"")"),0)</f>
        <v>0</v>
      </c>
      <c r="K111" s="230">
        <f t="shared" ca="1" si="57"/>
        <v>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IFERROR(__xludf.DUMMYFUNCTION("IMPORTRANGE(""https://docs.google.com/spreadsheets/d/1IYY_tgx_IHuhSq3AJ5eI5OnqOPBNLWSHKh2a30DoXe8/edit?usp=sharing"",""ปัตตานี!I47"")"),0)</f>
        <v>0</v>
      </c>
      <c r="J112" s="210">
        <f ca="1">IFERROR(__xludf.DUMMYFUNCTION("IMPORTRANGE(""https://docs.google.com/spreadsheets/d/1IYY_tgx_IHuhSq3AJ5eI5OnqOPBNLWSHKh2a30DoXe8/edit?usp=sharing"",""ปัตตานี!J47"")"),0)</f>
        <v>0</v>
      </c>
      <c r="K112" s="230">
        <f t="shared" ca="1" si="57"/>
        <v>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IFERROR(__xludf.DUMMYFUNCTION("IMPORTRANGE(""https://docs.google.com/spreadsheets/d/1IYY_tgx_IHuhSq3AJ5eI5OnqOPBNLWSHKh2a30DoXe8/edit?usp=sharing"",""ปัตตานี!I48"")"),0)</f>
        <v>0</v>
      </c>
      <c r="J113" s="210">
        <f ca="1">IFERROR(__xludf.DUMMYFUNCTION("IMPORTRANGE(""https://docs.google.com/spreadsheets/d/1IYY_tgx_IHuhSq3AJ5eI5OnqOPBNLWSHKh2a30DoXe8/edit?usp=sharing"",""ปัตตานี!J48"")"),0)</f>
        <v>0</v>
      </c>
      <c r="K113" s="230">
        <f t="shared" ca="1" si="57"/>
        <v>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IFERROR(__xludf.DUMMYFUNCTION("IMPORTRANGE(""https://docs.google.com/spreadsheets/d/1IYY_tgx_IHuhSq3AJ5eI5OnqOPBNLWSHKh2a30DoXe8/edit?usp=sharing"",""ปัตตานี!J49"")"),0)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IFERROR(__xludf.DUMMYFUNCTION("IMPORTRANGE(""https://docs.google.com/spreadsheets/d/1IYY_tgx_IHuhSq3AJ5eI5OnqOPBNLWSHKh2a30DoXe8/edit?usp=sharing"",""ปัตตานี!J50"")"),0)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IFERROR(__xludf.DUMMYFUNCTION("IMPORTRANGE(""https://docs.google.com/spreadsheets/d/1IYY_tgx_IHuhSq3AJ5eI5OnqOPBNLWSHKh2a30DoXe8/edit?usp=sharing"",""ปัตตานี!I52"")"),0)</f>
        <v>0</v>
      </c>
      <c r="J117" s="146">
        <f ca="1">IFERROR(__xludf.DUMMYFUNCTION("IMPORTRANGE(""https://docs.google.com/spreadsheets/d/1IYY_tgx_IHuhSq3AJ5eI5OnqOPBNLWSHKh2a30DoXe8/edit?usp=sharing"",""ปัตตานี!J52"")"),0)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2" t="s">
        <v>17</v>
      </c>
      <c r="E118" s="573"/>
      <c r="F118" s="573"/>
      <c r="G118" s="573"/>
      <c r="H118" s="153" t="s">
        <v>12</v>
      </c>
      <c r="I118" s="166"/>
      <c r="J118" s="166"/>
      <c r="K118" s="167"/>
      <c r="L118" s="156">
        <f t="shared" ref="L118:N118" ca="1" si="58">L119+L120</f>
        <v>0</v>
      </c>
      <c r="M118" s="156">
        <f t="shared" ca="1" si="58"/>
        <v>0</v>
      </c>
      <c r="N118" s="156">
        <f t="shared" ca="1" si="58"/>
        <v>0</v>
      </c>
      <c r="O118" s="155">
        <f t="shared" ref="O118:O120" ca="1" si="59">IF(L118&gt;0,N118*100/L118,0)</f>
        <v>0</v>
      </c>
      <c r="P118" s="155">
        <f t="shared" ref="P118:P120" ca="1" si="60">IF(M118&gt;0,N118*100/M118,0)</f>
        <v>0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0</v>
      </c>
      <c r="M120" s="161">
        <f t="shared" ca="1" si="62"/>
        <v>0</v>
      </c>
      <c r="N120" s="161">
        <f t="shared" ca="1" si="62"/>
        <v>0</v>
      </c>
      <c r="O120" s="160">
        <f t="shared" ca="1" si="59"/>
        <v>0</v>
      </c>
      <c r="P120" s="160">
        <f t="shared" ca="1" si="60"/>
        <v>0</v>
      </c>
    </row>
    <row r="121" spans="1:16" ht="21.75" customHeight="1" x14ac:dyDescent="0.3">
      <c r="A121" s="162"/>
      <c r="B121" s="163"/>
      <c r="C121" s="163" t="s">
        <v>16</v>
      </c>
      <c r="D121" s="574" t="s">
        <v>20</v>
      </c>
      <c r="E121" s="575"/>
      <c r="F121" s="575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0</v>
      </c>
      <c r="M122" s="173">
        <f ca="1">IFERROR(__xludf.DUMMYFUNCTION("IMPORTRANGE(""https://docs.google.com/spreadsheets/d/1Yj_ptqi66GCucihVvJfMjLAmec39IyEx_6qawtMGysU/edit?usp=sharing"",""สบก!BA86"")"),0)</f>
        <v>0</v>
      </c>
      <c r="N122" s="174">
        <f ca="1">IFERROR(__xludf.DUMMYFUNCTION("IMPORTRANGE(""https://docs.google.com/spreadsheets/d/1Yj_ptqi66GCucihVvJfMjLAmec39IyEx_6qawtMGysU/edit?usp=sharing"",""สบก!BB86"")"),0)</f>
        <v>0</v>
      </c>
      <c r="O122" s="175">
        <f ca="1">IF(L122&gt;0,N122*100/L122,0)</f>
        <v>0</v>
      </c>
      <c r="P122" s="175">
        <f ca="1">IF(M122&gt;0,N122*100/M122,0)</f>
        <v>0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IFERROR(__xludf.DUMMYFUNCTION("IMPORTRANGE(""https://docs.google.com/spreadsheets/d/1Yj_ptqi66GCucihVvJfMjLAmec39IyEx_6qawtMGysU/edit?usp=sharing"",""สบก!AW86"")"),0)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IFERROR(__xludf.DUMMYFUNCTION("IMPORTRANGE(""https://docs.google.com/spreadsheets/d/1Yj_ptqi66GCucihVvJfMjLAmec39IyEx_6qawtMGysU/edit?usp=sharing"",""สบก!AX86"")"),0)</f>
        <v>0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6" t="s">
        <v>23</v>
      </c>
      <c r="E125" s="575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IFERROR(__xludf.DUMMYFUNCTION("IMPORTRANGE(""https://docs.google.com/spreadsheets/d/1Yj_ptqi66GCucihVvJfMjLAmec39IyEx_6qawtMGysU/edit?usp=sharing"",""สบก!AY86"")"),0)</f>
        <v>0</v>
      </c>
      <c r="M126" s="101"/>
      <c r="N126" s="91">
        <f ca="1">IFERROR(__xludf.DUMMYFUNCTION("IMPORTRANGE(""https://docs.google.com/spreadsheets/d/1Yj_ptqi66GCucihVvJfMjLAmec39IyEx_6qawtMGysU/edit?usp=sharing"",""สบก!BC86"")"),0)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272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IFERROR(__xludf.DUMMYFUNCTION("IMPORTRANGE(""https://docs.google.com/spreadsheets/d/1IYY_tgx_IHuhSq3AJ5eI5OnqOPBNLWSHKh2a30DoXe8/edit?usp=sharing"",""ปัตตานี!J58"")"),0)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IFERROR(__xludf.DUMMYFUNCTION("IMPORTRANGE(""https://docs.google.com/spreadsheets/d/1IYY_tgx_IHuhSq3AJ5eI5OnqOPBNLWSHKh2a30DoXe8/edit?usp=sharing"",""ปัตตานี!J59"")"),0)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IFERROR(__xludf.DUMMYFUNCTION("IMPORTRANGE(""https://docs.google.com/spreadsheets/d/1IYY_tgx_IHuhSq3AJ5eI5OnqOPBNLWSHKh2a30DoXe8/edit?usp=sharing"",""ปัตตานี!J60"")"),0)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IFERROR(__xludf.DUMMYFUNCTION("IMPORTRANGE(""https://docs.google.com/spreadsheets/d/1IYY_tgx_IHuhSq3AJ5eI5OnqOPBNLWSHKh2a30DoXe8/edit?usp=sharing"",""ปัตตานี!J61"")"),0)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IFERROR(__xludf.DUMMYFUNCTION("IMPORTRANGE(""https://docs.google.com/spreadsheets/d/1IYY_tgx_IHuhSq3AJ5eI5OnqOPBNLWSHKh2a30DoXe8/edit?usp=sharing"",""ปัตตานี!I62"")"),0)</f>
        <v>0</v>
      </c>
      <c r="J132" s="210">
        <f ca="1">IFERROR(__xludf.DUMMYFUNCTION("IMPORTRANGE(""https://docs.google.com/spreadsheets/d/1IYY_tgx_IHuhSq3AJ5eI5OnqOPBNLWSHKh2a30DoXe8/edit?usp=sharing"",""ปัตตานี!J62"")"),0)</f>
        <v>0</v>
      </c>
      <c r="K132" s="230">
        <f t="shared" ref="K132:K133" ca="1" si="63">IF(I132&gt;0,J132*100/I132,0)</f>
        <v>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IFERROR(__xludf.DUMMYFUNCTION("IMPORTRANGE(""https://docs.google.com/spreadsheets/d/1IYY_tgx_IHuhSq3AJ5eI5OnqOPBNLWSHKh2a30DoXe8/edit?usp=sharing"",""ปัตตานี!I63"")"),0)</f>
        <v>0</v>
      </c>
      <c r="J133" s="210">
        <f ca="1">IFERROR(__xludf.DUMMYFUNCTION("IMPORTRANGE(""https://docs.google.com/spreadsheets/d/1IYY_tgx_IHuhSq3AJ5eI5OnqOPBNLWSHKh2a30DoXe8/edit?usp=sharing"",""ปัตตานี!J63"")"),0)</f>
        <v>0</v>
      </c>
      <c r="K133" s="230">
        <f t="shared" ca="1" si="63"/>
        <v>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IFERROR(__xludf.DUMMYFUNCTION("IMPORTRANGE(""https://docs.google.com/spreadsheets/d/1IYY_tgx_IHuhSq3AJ5eI5OnqOPBNLWSHKh2a30DoXe8/edit?usp=sharing"",""ปัตตานี!J64"")"),0)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IFERROR(__xludf.DUMMYFUNCTION("IMPORTRANGE(""https://docs.google.com/spreadsheets/d/1IYY_tgx_IHuhSq3AJ5eI5OnqOPBNLWSHKh2a30DoXe8/edit?usp=sharing"",""ปัตตานี!J65"")"),0)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IFERROR(__xludf.DUMMYFUNCTION("IMPORTRANGE(""https://docs.google.com/spreadsheets/d/1IYY_tgx_IHuhSq3AJ5eI5OnqOPBNLWSHKh2a30DoXe8/edit?usp=sharing"",""ปัตตานี!I68"")"),15)</f>
        <v>15</v>
      </c>
      <c r="J138" s="273">
        <f ca="1">IFERROR(__xludf.DUMMYFUNCTION("IMPORTRANGE(""https://docs.google.com/spreadsheets/d/1IYY_tgx_IHuhSq3AJ5eI5OnqOPBNLWSHKh2a30DoXe8/edit?usp=sharing"",""ปัตตานี!J68"")"),15)</f>
        <v>15</v>
      </c>
      <c r="K138" s="274">
        <f ca="1">IF(I138&gt;0,J138*100/I138,0)</f>
        <v>100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2" t="s">
        <v>17</v>
      </c>
      <c r="E140" s="573"/>
      <c r="F140" s="573"/>
      <c r="G140" s="573"/>
      <c r="H140" s="153" t="s">
        <v>12</v>
      </c>
      <c r="I140" s="166"/>
      <c r="J140" s="166"/>
      <c r="K140" s="167"/>
      <c r="L140" s="156">
        <f t="shared" ref="L140:N140" ca="1" si="64">L141+L142</f>
        <v>376600</v>
      </c>
      <c r="M140" s="156">
        <f t="shared" ca="1" si="64"/>
        <v>376600</v>
      </c>
      <c r="N140" s="156">
        <f t="shared" ca="1" si="64"/>
        <v>377860.41</v>
      </c>
      <c r="O140" s="155">
        <f t="shared" ref="O140:O142" ca="1" si="65">IF(L140&gt;0,N140*100/L140,0)</f>
        <v>100.33468135953267</v>
      </c>
      <c r="P140" s="155">
        <f t="shared" ref="P140:P142" ca="1" si="66">IF(M140&gt;0,N140*100/M140,0)</f>
        <v>100.33468135953267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376600</v>
      </c>
      <c r="M142" s="161">
        <f t="shared" ca="1" si="68"/>
        <v>376600</v>
      </c>
      <c r="N142" s="161">
        <f t="shared" ca="1" si="68"/>
        <v>377860.41</v>
      </c>
      <c r="O142" s="160">
        <f t="shared" ca="1" si="65"/>
        <v>100.33468135953267</v>
      </c>
      <c r="P142" s="160">
        <f t="shared" ca="1" si="66"/>
        <v>100.33468135953267</v>
      </c>
    </row>
    <row r="143" spans="1:16" ht="21.75" customHeight="1" x14ac:dyDescent="0.3">
      <c r="A143" s="162"/>
      <c r="B143" s="163"/>
      <c r="C143" s="163" t="s">
        <v>16</v>
      </c>
      <c r="D143" s="574" t="s">
        <v>20</v>
      </c>
      <c r="E143" s="575"/>
      <c r="F143" s="575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376600</v>
      </c>
      <c r="M144" s="173">
        <f ca="1">IFERROR(__xludf.DUMMYFUNCTION("IMPORTRANGE(""https://docs.google.com/spreadsheets/d/1Yj_ptqi66GCucihVvJfMjLAmec39IyEx_6qawtMGysU/edit?usp=sharing"",""สบก!BJ86"")"),376600)</f>
        <v>376600</v>
      </c>
      <c r="N144" s="174">
        <f ca="1">IFERROR(__xludf.DUMMYFUNCTION("IMPORTRANGE(""https://docs.google.com/spreadsheets/d/1Yj_ptqi66GCucihVvJfMjLAmec39IyEx_6qawtMGysU/edit?usp=sharing"",""สบก!BK86"")"),377860.41)</f>
        <v>377860.41</v>
      </c>
      <c r="O144" s="175">
        <f ca="1">IF(L144&gt;0,N144*100/L144,0)</f>
        <v>100.33468135953267</v>
      </c>
      <c r="P144" s="175">
        <f ca="1">IF(M144&gt;0,N144*100/M144,0)</f>
        <v>100.33468135953267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IFERROR(__xludf.DUMMYFUNCTION("IMPORTRANGE(""https://docs.google.com/spreadsheets/d/1Yj_ptqi66GCucihVvJfMjLAmec39IyEx_6qawtMGysU/edit?usp=sharing"",""สบก!BF86"")"),318000)</f>
        <v>318000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IFERROR(__xludf.DUMMYFUNCTION("IMPORTRANGE(""https://docs.google.com/spreadsheets/d/1Yj_ptqi66GCucihVvJfMjLAmec39IyEx_6qawtMGysU/edit?usp=sharing"",""สบก!BG86"")"),58600)</f>
        <v>58600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6" t="s">
        <v>23</v>
      </c>
      <c r="E147" s="575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IFERROR(__xludf.DUMMYFUNCTION("IMPORTRANGE(""https://docs.google.com/spreadsheets/d/1Yj_ptqi66GCucihVvJfMjLAmec39IyEx_6qawtMGysU/edit?usp=sharing"",""สบก!BH86"")"),0)</f>
        <v>0</v>
      </c>
      <c r="M148" s="101"/>
      <c r="N148" s="91">
        <f ca="1">IFERROR(__xludf.DUMMYFUNCTION("IMPORTRANGE(""https://docs.google.com/spreadsheets/d/1Yj_ptqi66GCucihVvJfMjLAmec39IyEx_6qawtMGysU/edit?usp=sharing"",""สบก!BL86"")"),0)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IFERROR(__xludf.DUMMYFUNCTION("IMPORTRANGE(""https://docs.google.com/spreadsheets/d/1IYY_tgx_IHuhSq3AJ5eI5OnqOPBNLWSHKh2a30DoXe8/edit?usp=sharing"",""ปัตตานี!I74"")"),4)</f>
        <v>4</v>
      </c>
      <c r="J149" s="281">
        <f ca="1">IFERROR(__xludf.DUMMYFUNCTION("IMPORTRANGE(""https://docs.google.com/spreadsheets/d/1IYY_tgx_IHuhSq3AJ5eI5OnqOPBNLWSHKh2a30DoXe8/edit?usp=sharing"",""ปัตตานี!J74"")"),4)</f>
        <v>4</v>
      </c>
      <c r="K149" s="282">
        <f ca="1">IF(I149&gt;0,J149*100/I149,0)</f>
        <v>100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IFERROR(__xludf.DUMMYFUNCTION("IMPORTRANGE(""https://docs.google.com/spreadsheets/d/1IYY_tgx_IHuhSq3AJ5eI5OnqOPBNLWSHKh2a30DoXe8/edit?usp=sharing"",""ปัตตานี!J79"")"),0)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IFERROR(__xludf.DUMMYFUNCTION("IMPORTRANGE(""https://docs.google.com/spreadsheets/d/1IYY_tgx_IHuhSq3AJ5eI5OnqOPBNLWSHKh2a30DoXe8/edit?usp=sharing"",""ปัตตานี!J80"")"),1)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IFERROR(__xludf.DUMMYFUNCTION("IMPORTRANGE(""https://docs.google.com/spreadsheets/d/1IYY_tgx_IHuhSq3AJ5eI5OnqOPBNLWSHKh2a30DoXe8/edit?usp=sharing"",""ปัตตานี!J81"")"),1)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IFERROR(__xludf.DUMMYFUNCTION("IMPORTRANGE(""https://docs.google.com/spreadsheets/d/1IYY_tgx_IHuhSq3AJ5eI5OnqOPBNLWSHKh2a30DoXe8/edit?usp=sharing"",""ปัตตานี!J82"")"),1)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IFERROR(__xludf.DUMMYFUNCTION("IMPORTRANGE(""https://docs.google.com/spreadsheets/d/1IYY_tgx_IHuhSq3AJ5eI5OnqOPBNLWSHKh2a30DoXe8/edit?usp=sharing"",""ปัตตานี!I83"")"),4)</f>
        <v>4</v>
      </c>
      <c r="J158" s="195">
        <f ca="1">IFERROR(__xludf.DUMMYFUNCTION("IMPORTRANGE(""https://docs.google.com/spreadsheets/d/1IYY_tgx_IHuhSq3AJ5eI5OnqOPBNLWSHKh2a30DoXe8/edit?usp=sharing"",""ปัตตานี!J83"")"),4)</f>
        <v>4</v>
      </c>
      <c r="K158" s="167">
        <f ca="1">IF(I158&gt;0,J158*100/I158,0)</f>
        <v>100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IFERROR(__xludf.DUMMYFUNCTION("IMPORTRANGE(""https://docs.google.com/spreadsheets/d/1IYY_tgx_IHuhSq3AJ5eI5OnqOPBNLWSHKh2a30DoXe8/edit?usp=sharing"",""ปัตตานี!J84"")"),228)</f>
        <v>228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IFERROR(__xludf.DUMMYFUNCTION("IMPORTRANGE(""https://docs.google.com/spreadsheets/d/1IYY_tgx_IHuhSq3AJ5eI5OnqOPBNLWSHKh2a30DoXe8/edit?usp=sharing"",""ปัตตานี!J85"")"),228)</f>
        <v>228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IFERROR(__xludf.DUMMYFUNCTION("IMPORTRANGE(""https://docs.google.com/spreadsheets/d/1IYY_tgx_IHuhSq3AJ5eI5OnqOPBNLWSHKh2a30DoXe8/edit?usp=sharing"",""ปัตตานี!J86"")"),0)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IFERROR(__xludf.DUMMYFUNCTION("IMPORTRANGE(""https://docs.google.com/spreadsheets/d/1IYY_tgx_IHuhSq3AJ5eI5OnqOPBNLWSHKh2a30DoXe8/edit?usp=sharing"",""ปัตตานี!J87"")"),0)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IFERROR(__xludf.DUMMYFUNCTION("IMPORTRANGE(""https://docs.google.com/spreadsheets/d/1IYY_tgx_IHuhSq3AJ5eI5OnqOPBNLWSHKh2a30DoXe8/edit?usp=sharing"",""ปัตตานี!J88"")"),0)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IFERROR(__xludf.DUMMYFUNCTION("IMPORTRANGE(""https://docs.google.com/spreadsheets/d/1IYY_tgx_IHuhSq3AJ5eI5OnqOPBNLWSHKh2a30DoXe8/edit?usp=sharing"",""ปัตตานี!I89"")"),2)</f>
        <v>2</v>
      </c>
      <c r="J164" s="290">
        <f ca="1">IFERROR(__xludf.DUMMYFUNCTION("IMPORTRANGE(""https://docs.google.com/spreadsheets/d/1IYY_tgx_IHuhSq3AJ5eI5OnqOPBNLWSHKh2a30DoXe8/edit?usp=sharing"",""ปัตตานี!J89"")"),2)</f>
        <v>2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IFERROR(__xludf.DUMMYFUNCTION("IMPORTRANGE(""https://docs.google.com/spreadsheets/d/1IYY_tgx_IHuhSq3AJ5eI5OnqOPBNLWSHKh2a30DoXe8/edit?usp=sharing"",""ปัตตานี!J94"")"),0)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IFERROR(__xludf.DUMMYFUNCTION("IMPORTRANGE(""https://docs.google.com/spreadsheets/d/1IYY_tgx_IHuhSq3AJ5eI5OnqOPBNLWSHKh2a30DoXe8/edit?usp=sharing"",""ปัตตานี!J95"")"),1)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IFERROR(__xludf.DUMMYFUNCTION("IMPORTRANGE(""https://docs.google.com/spreadsheets/d/1IYY_tgx_IHuhSq3AJ5eI5OnqOPBNLWSHKh2a30DoXe8/edit?usp=sharing"",""ปัตตานี!J96"")"),1)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IFERROR(__xludf.DUMMYFUNCTION("IMPORTRANGE(""https://docs.google.com/spreadsheets/d/1IYY_tgx_IHuhSq3AJ5eI5OnqOPBNLWSHKh2a30DoXe8/edit?usp=sharing"",""ปัตตานี!J97"")"),1)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IFERROR(__xludf.DUMMYFUNCTION("IMPORTRANGE(""https://docs.google.com/spreadsheets/d/1IYY_tgx_IHuhSq3AJ5eI5OnqOPBNLWSHKh2a30DoXe8/edit?usp=sharing"",""ปัตตานี!I98"")"),2)</f>
        <v>2</v>
      </c>
      <c r="J173" s="195">
        <f ca="1">IFERROR(__xludf.DUMMYFUNCTION("IMPORTRANGE(""https://docs.google.com/spreadsheets/d/1IYY_tgx_IHuhSq3AJ5eI5OnqOPBNLWSHKh2a30DoXe8/edit?usp=sharing"",""ปัตตานี!J98"")"),2)</f>
        <v>2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IFERROR(__xludf.DUMMYFUNCTION("IMPORTRANGE(""https://docs.google.com/spreadsheets/d/1IYY_tgx_IHuhSq3AJ5eI5OnqOPBNLWSHKh2a30DoXe8/edit?usp=sharing"",""ปัตตานี!J99"")"),0)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IFERROR(__xludf.DUMMYFUNCTION("IMPORTRANGE(""https://docs.google.com/spreadsheets/d/1IYY_tgx_IHuhSq3AJ5eI5OnqOPBNLWSHKh2a30DoXe8/edit?usp=sharing"",""ปัตตานี!J100"")"),0)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IFERROR(__xludf.DUMMYFUNCTION("IMPORTRANGE(""https://docs.google.com/spreadsheets/d/1IYY_tgx_IHuhSq3AJ5eI5OnqOPBNLWSHKh2a30DoXe8/edit?usp=sharing"",""ปัตตานี!I101"")"),0)</f>
        <v>0</v>
      </c>
      <c r="J176" s="290">
        <f ca="1">IFERROR(__xludf.DUMMYFUNCTION("IMPORTRANGE(""https://docs.google.com/spreadsheets/d/1IYY_tgx_IHuhSq3AJ5eI5OnqOPBNLWSHKh2a30DoXe8/edit?usp=sharing"",""ปัตตานี!J101"")"),0)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IFERROR(__xludf.DUMMYFUNCTION("IMPORTRANGE(""https://docs.google.com/spreadsheets/d/1IYY_tgx_IHuhSq3AJ5eI5OnqOPBNLWSHKh2a30DoXe8/edit?usp=sharing"",""ปัตตานี!J106"")"),0)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IFERROR(__xludf.DUMMYFUNCTION("IMPORTRANGE(""https://docs.google.com/spreadsheets/d/1IYY_tgx_IHuhSq3AJ5eI5OnqOPBNLWSHKh2a30DoXe8/edit?usp=sharing"",""ปัตตานี!J107"")"),0)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IFERROR(__xludf.DUMMYFUNCTION("IMPORTRANGE(""https://docs.google.com/spreadsheets/d/1IYY_tgx_IHuhSq3AJ5eI5OnqOPBNLWSHKh2a30DoXe8/edit?usp=sharing"",""ปัตตานี!J108"")"),0)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IFERROR(__xludf.DUMMYFUNCTION("IMPORTRANGE(""https://docs.google.com/spreadsheets/d/1IYY_tgx_IHuhSq3AJ5eI5OnqOPBNLWSHKh2a30DoXe8/edit?usp=sharing"",""ปัตตานี!J109"")"),0)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IFERROR(__xludf.DUMMYFUNCTION("IMPORTRANGE(""https://docs.google.com/spreadsheets/d/1IYY_tgx_IHuhSq3AJ5eI5OnqOPBNLWSHKh2a30DoXe8/edit?usp=sharing"",""ปัตตานี!I110"")"),0)</f>
        <v>0</v>
      </c>
      <c r="J185" s="210">
        <f ca="1">IFERROR(__xludf.DUMMYFUNCTION("IMPORTRANGE(""https://docs.google.com/spreadsheets/d/1IYY_tgx_IHuhSq3AJ5eI5OnqOPBNLWSHKh2a30DoXe8/edit?usp=sharing"",""ปัตตานี!J110"")"),0)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IFERROR(__xludf.DUMMYFUNCTION("IMPORTRANGE(""https://docs.google.com/spreadsheets/d/1IYY_tgx_IHuhSq3AJ5eI5OnqOPBNLWSHKh2a30DoXe8/edit?usp=sharing"",""ปัตตานี!I111"")"),0)</f>
        <v>0</v>
      </c>
      <c r="J186" s="210">
        <f ca="1">IFERROR(__xludf.DUMMYFUNCTION("IMPORTRANGE(""https://docs.google.com/spreadsheets/d/1IYY_tgx_IHuhSq3AJ5eI5OnqOPBNLWSHKh2a30DoXe8/edit?usp=sharing"",""ปัตตานี!J111"")"),0)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IFERROR(__xludf.DUMMYFUNCTION("IMPORTRANGE(""https://docs.google.com/spreadsheets/d/1IYY_tgx_IHuhSq3AJ5eI5OnqOPBNLWSHKh2a30DoXe8/edit?usp=sharing"",""ปัตตานี!J112"")"),0)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IFERROR(__xludf.DUMMYFUNCTION("IMPORTRANGE(""https://docs.google.com/spreadsheets/d/1IYY_tgx_IHuhSq3AJ5eI5OnqOPBNLWSHKh2a30DoXe8/edit?usp=sharing"",""ปัตตานี!J113"")"),0)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IFERROR(__xludf.DUMMYFUNCTION("IMPORTRANGE(""https://docs.google.com/spreadsheets/d/1IYY_tgx_IHuhSq3AJ5eI5OnqOPBNLWSHKh2a30DoXe8/edit?usp=sharing"",""ปัตตานี!I114"")"),12800)</f>
        <v>12800</v>
      </c>
      <c r="J189" s="290">
        <f ca="1">IFERROR(__xludf.DUMMYFUNCTION("IMPORTRANGE(""https://docs.google.com/spreadsheets/d/1IYY_tgx_IHuhSq3AJ5eI5OnqOPBNLWSHKh2a30DoXe8/edit?usp=sharing"",""ปัตตานี!J114"")"),12800)</f>
        <v>12800</v>
      </c>
      <c r="K189" s="291">
        <f ca="1">IF(I189&gt;0,J189*100/I189,0)</f>
        <v>100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IFERROR(__xludf.DUMMYFUNCTION("IMPORTRANGE(""https://docs.google.com/spreadsheets/d/1IYY_tgx_IHuhSq3AJ5eI5OnqOPBNLWSHKh2a30DoXe8/edit?usp=sharing"",""ปัตตานี!J119"")"),0)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IFERROR(__xludf.DUMMYFUNCTION("IMPORTRANGE(""https://docs.google.com/spreadsheets/d/1IYY_tgx_IHuhSq3AJ5eI5OnqOPBNLWSHKh2a30DoXe8/edit?usp=sharing"",""ปัตตานี!J120"")"),1)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IFERROR(__xludf.DUMMYFUNCTION("IMPORTRANGE(""https://docs.google.com/spreadsheets/d/1IYY_tgx_IHuhSq3AJ5eI5OnqOPBNLWSHKh2a30DoXe8/edit?usp=sharing"",""ปัตตานี!J121"")"),1)</f>
        <v>1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IFERROR(__xludf.DUMMYFUNCTION("IMPORTRANGE(""https://docs.google.com/spreadsheets/d/1IYY_tgx_IHuhSq3AJ5eI5OnqOPBNLWSHKh2a30DoXe8/edit?usp=sharing"",""ปัตตานี!J122"")"),1)</f>
        <v>1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IFERROR(__xludf.DUMMYFUNCTION("IMPORTRANGE(""https://docs.google.com/spreadsheets/d/1IYY_tgx_IHuhSq3AJ5eI5OnqOPBNLWSHKh2a30DoXe8/edit?usp=sharing"",""ปัตตานี!I124"")"),12800)</f>
        <v>12800</v>
      </c>
      <c r="J199" s="195">
        <f ca="1">IFERROR(__xludf.DUMMYFUNCTION("IMPORTRANGE(""https://docs.google.com/spreadsheets/d/1IYY_tgx_IHuhSq3AJ5eI5OnqOPBNLWSHKh2a30DoXe8/edit?usp=sharing"",""ปัตตานี!J124"")"),12800)</f>
        <v>12800</v>
      </c>
      <c r="K199" s="167">
        <f t="shared" ref="K199:K201" ca="1" si="70">IF(I199&gt;0,J199*100/I199,0)</f>
        <v>100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IFERROR(__xludf.DUMMYFUNCTION("IMPORTRANGE(""https://docs.google.com/spreadsheets/d/1IYY_tgx_IHuhSq3AJ5eI5OnqOPBNLWSHKh2a30DoXe8/edit?usp=sharing"",""ปัตตานี!I125"")"),12800)</f>
        <v>12800</v>
      </c>
      <c r="J200" s="195">
        <f ca="1">IFERROR(__xludf.DUMMYFUNCTION("IMPORTRANGE(""https://docs.google.com/spreadsheets/d/1IYY_tgx_IHuhSq3AJ5eI5OnqOPBNLWSHKh2a30DoXe8/edit?usp=sharing"",""ปัตตานี!J125"")"),12800)</f>
        <v>12800</v>
      </c>
      <c r="K200" s="167">
        <f t="shared" ca="1" si="70"/>
        <v>100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IFERROR(__xludf.DUMMYFUNCTION("IMPORTRANGE(""https://docs.google.com/spreadsheets/d/1IYY_tgx_IHuhSq3AJ5eI5OnqOPBNLWSHKh2a30DoXe8/edit?usp=sharing"",""ปัตตานี!I126"")"),15)</f>
        <v>15</v>
      </c>
      <c r="J201" s="195">
        <f ca="1">IFERROR(__xludf.DUMMYFUNCTION("IMPORTRANGE(""https://docs.google.com/spreadsheets/d/1IYY_tgx_IHuhSq3AJ5eI5OnqOPBNLWSHKh2a30DoXe8/edit?usp=sharing"",""ปัตตานี!J126"")"),15)</f>
        <v>15</v>
      </c>
      <c r="K201" s="167">
        <f t="shared" ca="1" si="70"/>
        <v>100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IFERROR(__xludf.DUMMYFUNCTION("IMPORTRANGE(""https://docs.google.com/spreadsheets/d/1IYY_tgx_IHuhSq3AJ5eI5OnqOPBNLWSHKh2a30DoXe8/edit?usp=sharing"",""ปัตตานี!J127"")"),0)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IFERROR(__xludf.DUMMYFUNCTION("IMPORTRANGE(""https://docs.google.com/spreadsheets/d/1IYY_tgx_IHuhSq3AJ5eI5OnqOPBNLWSHKh2a30DoXe8/edit?usp=sharing"",""ปัตตานี!J128"")"),0)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IFERROR(__xludf.DUMMYFUNCTION("IMPORTRANGE(""https://docs.google.com/spreadsheets/d/1IYY_tgx_IHuhSq3AJ5eI5OnqOPBNLWSHKh2a30DoXe8/edit?usp=sharing"",""ปัตตานี!I129"")"),0)</f>
        <v>0</v>
      </c>
      <c r="J204" s="290">
        <f ca="1">IFERROR(__xludf.DUMMYFUNCTION("IMPORTRANGE(""https://docs.google.com/spreadsheets/d/1IYY_tgx_IHuhSq3AJ5eI5OnqOPBNLWSHKh2a30DoXe8/edit?usp=sharing"",""ปัตตานี!J129"")"),0)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IFERROR(__xludf.DUMMYFUNCTION("IMPORTRANGE(""https://docs.google.com/spreadsheets/d/1IYY_tgx_IHuhSq3AJ5eI5OnqOPBNLWSHKh2a30DoXe8/edit?usp=sharing"",""ปัตตานี!J134"")"),0)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IFERROR(__xludf.DUMMYFUNCTION("IMPORTRANGE(""https://docs.google.com/spreadsheets/d/1IYY_tgx_IHuhSq3AJ5eI5OnqOPBNLWSHKh2a30DoXe8/edit?usp=sharing"",""ปัตตานี!J135"")"),0)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IFERROR(__xludf.DUMMYFUNCTION("IMPORTRANGE(""https://docs.google.com/spreadsheets/d/1IYY_tgx_IHuhSq3AJ5eI5OnqOPBNLWSHKh2a30DoXe8/edit?usp=sharing"",""ปัตตานี!J136"")"),0)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IFERROR(__xludf.DUMMYFUNCTION("IMPORTRANGE(""https://docs.google.com/spreadsheets/d/1IYY_tgx_IHuhSq3AJ5eI5OnqOPBNLWSHKh2a30DoXe8/edit?usp=sharing"",""ปัตตานี!J137"")"),0)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IFERROR(__xludf.DUMMYFUNCTION("IMPORTRANGE(""https://docs.google.com/spreadsheets/d/1IYY_tgx_IHuhSq3AJ5eI5OnqOPBNLWSHKh2a30DoXe8/edit?usp=sharing"",""ปัตตานี!I138"")"),0)</f>
        <v>0</v>
      </c>
      <c r="J213" s="210">
        <f ca="1">IFERROR(__xludf.DUMMYFUNCTION("IMPORTRANGE(""https://docs.google.com/spreadsheets/d/1IYY_tgx_IHuhSq3AJ5eI5OnqOPBNLWSHKh2a30DoXe8/edit?usp=sharing"",""ปัตตานี!J138"")"),0)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IFERROR(__xludf.DUMMYFUNCTION("IMPORTRANGE(""https://docs.google.com/spreadsheets/d/1IYY_tgx_IHuhSq3AJ5eI5OnqOPBNLWSHKh2a30DoXe8/edit?usp=sharing"",""ปัตตานี!I140"")"),0)</f>
        <v>0</v>
      </c>
      <c r="J215" s="210">
        <f ca="1">IFERROR(__xludf.DUMMYFUNCTION("IMPORTRANGE(""https://docs.google.com/spreadsheets/d/1IYY_tgx_IHuhSq3AJ5eI5OnqOPBNLWSHKh2a30DoXe8/edit?usp=sharing"",""ปัตตานี!J140"")"),0)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IFERROR(__xludf.DUMMYFUNCTION("IMPORTRANGE(""https://docs.google.com/spreadsheets/d/1IYY_tgx_IHuhSq3AJ5eI5OnqOPBNLWSHKh2a30DoXe8/edit?usp=sharing"",""ปัตตานี!I141"")"),0)</f>
        <v>0</v>
      </c>
      <c r="J216" s="210">
        <f ca="1">IFERROR(__xludf.DUMMYFUNCTION("IMPORTRANGE(""https://docs.google.com/spreadsheets/d/1IYY_tgx_IHuhSq3AJ5eI5OnqOPBNLWSHKh2a30DoXe8/edit?usp=sharing"",""ปัตตานี!J141"")"),0)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IFERROR(__xludf.DUMMYFUNCTION("IMPORTRANGE(""https://docs.google.com/spreadsheets/d/1IYY_tgx_IHuhSq3AJ5eI5OnqOPBNLWSHKh2a30DoXe8/edit?usp=sharing"",""ปัตตานี!J142"")"),0)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IFERROR(__xludf.DUMMYFUNCTION("IMPORTRANGE(""https://docs.google.com/spreadsheets/d/1IYY_tgx_IHuhSq3AJ5eI5OnqOPBNLWSHKh2a30DoXe8/edit?usp=sharing"",""ปัตตานี!J143"")"),0)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IFERROR(__xludf.DUMMYFUNCTION("IMPORTRANGE(""https://docs.google.com/spreadsheets/d/1IYY_tgx_IHuhSq3AJ5eI5OnqOPBNLWSHKh2a30DoXe8/edit?usp=sharing"",""ปัตตานี!I144"")"),15)</f>
        <v>15</v>
      </c>
      <c r="J219" s="273">
        <f ca="1">IFERROR(__xludf.DUMMYFUNCTION("IMPORTRANGE(""https://docs.google.com/spreadsheets/d/1IYY_tgx_IHuhSq3AJ5eI5OnqOPBNLWSHKh2a30DoXe8/edit?usp=sharing"",""ปัตตานี!J144"")"),15)</f>
        <v>15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2" t="s">
        <v>17</v>
      </c>
      <c r="E220" s="573"/>
      <c r="F220" s="573"/>
      <c r="G220" s="573"/>
      <c r="H220" s="153" t="s">
        <v>12</v>
      </c>
      <c r="I220" s="166"/>
      <c r="J220" s="166"/>
      <c r="K220" s="167"/>
      <c r="L220" s="156">
        <f t="shared" ref="L220:N220" ca="1" si="72">L221+L222</f>
        <v>34525</v>
      </c>
      <c r="M220" s="156">
        <f t="shared" ca="1" si="72"/>
        <v>68285</v>
      </c>
      <c r="N220" s="156">
        <f t="shared" ca="1" si="72"/>
        <v>60715</v>
      </c>
      <c r="O220" s="155">
        <f t="shared" ref="O220:O222" ca="1" si="73">IF(L220&gt;0,N220*100/L220,0)</f>
        <v>175.85807385952208</v>
      </c>
      <c r="P220" s="155">
        <f t="shared" ref="P220:P222" ca="1" si="74">IF(M220&gt;0,N220*100/M220,0)</f>
        <v>88.914109980229924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34525</v>
      </c>
      <c r="M222" s="161">
        <f t="shared" ca="1" si="76"/>
        <v>68285</v>
      </c>
      <c r="N222" s="161">
        <f t="shared" ca="1" si="76"/>
        <v>60715</v>
      </c>
      <c r="O222" s="160">
        <f t="shared" ca="1" si="73"/>
        <v>175.85807385952208</v>
      </c>
      <c r="P222" s="160">
        <f t="shared" ca="1" si="74"/>
        <v>88.914109980229924</v>
      </c>
    </row>
    <row r="223" spans="1:16" ht="21.75" customHeight="1" x14ac:dyDescent="0.3">
      <c r="A223" s="162"/>
      <c r="B223" s="163"/>
      <c r="C223" s="163" t="s">
        <v>16</v>
      </c>
      <c r="D223" s="574" t="s">
        <v>20</v>
      </c>
      <c r="E223" s="575"/>
      <c r="F223" s="575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34525</v>
      </c>
      <c r="M224" s="173">
        <f ca="1">IFERROR(__xludf.DUMMYFUNCTION("IMPORTRANGE(""https://docs.google.com/spreadsheets/d/1Yj_ptqi66GCucihVvJfMjLAmec39IyEx_6qawtMGysU/edit?usp=sharing"",""สบก!BS86"")"),68285)</f>
        <v>68285</v>
      </c>
      <c r="N224" s="174">
        <f ca="1">IFERROR(__xludf.DUMMYFUNCTION("IMPORTRANGE(""https://docs.google.com/spreadsheets/d/1Yj_ptqi66GCucihVvJfMjLAmec39IyEx_6qawtMGysU/edit?usp=sharing"",""สบก!BT86"")"),60715)</f>
        <v>60715</v>
      </c>
      <c r="O224" s="175">
        <f ca="1">IF(L224&gt;0,N224*100/L224,0)</f>
        <v>175.85807385952208</v>
      </c>
      <c r="P224" s="175">
        <f ca="1">IF(M224&gt;0,N224*100/M224,0)</f>
        <v>88.914109980229924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IFERROR(__xludf.DUMMYFUNCTION("IMPORTRANGE(""https://docs.google.com/spreadsheets/d/1Yj_ptqi66GCucihVvJfMjLAmec39IyEx_6qawtMGysU/edit?usp=sharing"",""สบก!BO86"")"),0)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IFERROR(__xludf.DUMMYFUNCTION("IMPORTRANGE(""https://docs.google.com/spreadsheets/d/1Yj_ptqi66GCucihVvJfMjLAmec39IyEx_6qawtMGysU/edit?usp=sharing"",""สบก!BP86"")"),34525)</f>
        <v>34525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6" t="s">
        <v>23</v>
      </c>
      <c r="E227" s="575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IFERROR(__xludf.DUMMYFUNCTION("IMPORTRANGE(""https://docs.google.com/spreadsheets/d/1Yj_ptqi66GCucihVvJfMjLAmec39IyEx_6qawtMGysU/edit?usp=sharing"",""สบก!BQ86"")"),0)</f>
        <v>0</v>
      </c>
      <c r="M228" s="101"/>
      <c r="N228" s="91">
        <f ca="1">IFERROR(__xludf.DUMMYFUNCTION("IMPORTRANGE(""https://docs.google.com/spreadsheets/d/1Yj_ptqi66GCucihVvJfMjLAmec39IyEx_6qawtMGysU/edit?usp=sharing"",""สบก!BU86"")"),0)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IFERROR(__xludf.DUMMYFUNCTION("IMPORTRANGE(""https://docs.google.com/spreadsheets/d/1IYY_tgx_IHuhSq3AJ5eI5OnqOPBNLWSHKh2a30DoXe8/edit?usp=sharing"",""ปัตตานี!I149"")"),15)</f>
        <v>15</v>
      </c>
      <c r="J229" s="273">
        <f ca="1">IFERROR(__xludf.DUMMYFUNCTION("IMPORTRANGE(""https://docs.google.com/spreadsheets/d/1IYY_tgx_IHuhSq3AJ5eI5OnqOPBNLWSHKh2a30DoXe8/edit?usp=sharing"",""ปัตตานี!J149"")"),15)</f>
        <v>15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IFERROR(__xludf.DUMMYFUNCTION("IMPORTRANGE(""https://docs.google.com/spreadsheets/d/1IYY_tgx_IHuhSq3AJ5eI5OnqOPBNLWSHKh2a30DoXe8/edit?usp=sharing"",""ปัตตานี!J151"")"),0)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IFERROR(__xludf.DUMMYFUNCTION("IMPORTRANGE(""https://docs.google.com/spreadsheets/d/1IYY_tgx_IHuhSq3AJ5eI5OnqOPBNLWSHKh2a30DoXe8/edit?usp=sharing"",""ปัตตานี!J152"")"),1)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IFERROR(__xludf.DUMMYFUNCTION("IMPORTRANGE(""https://docs.google.com/spreadsheets/d/1IYY_tgx_IHuhSq3AJ5eI5OnqOPBNLWSHKh2a30DoXe8/edit?usp=sharing"",""ปัตตานี!J153"")"),1)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IFERROR(__xludf.DUMMYFUNCTION("IMPORTRANGE(""https://docs.google.com/spreadsheets/d/1IYY_tgx_IHuhSq3AJ5eI5OnqOPBNLWSHKh2a30DoXe8/edit?usp=sharing"",""ปัตตานี!J154"")"),1)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IFERROR(__xludf.DUMMYFUNCTION("IMPORTRANGE(""https://docs.google.com/spreadsheets/d/1IYY_tgx_IHuhSq3AJ5eI5OnqOPBNLWSHKh2a30DoXe8/edit?usp=sharing"",""ปัตตานี!I155"")"),15)</f>
        <v>15</v>
      </c>
      <c r="J235" s="195">
        <f ca="1">IFERROR(__xludf.DUMMYFUNCTION("IMPORTRANGE(""https://docs.google.com/spreadsheets/d/1IYY_tgx_IHuhSq3AJ5eI5OnqOPBNLWSHKh2a30DoXe8/edit?usp=sharing"",""ปัตตานี!J155"")"),15)</f>
        <v>15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IFERROR(__xludf.DUMMYFUNCTION("IMPORTRANGE(""https://docs.google.com/spreadsheets/d/1IYY_tgx_IHuhSq3AJ5eI5OnqOPBNLWSHKh2a30DoXe8/edit?usp=sharing"",""ปัตตานี!J156"")"),0)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IFERROR(__xludf.DUMMYFUNCTION("IMPORTRANGE(""https://docs.google.com/spreadsheets/d/1IYY_tgx_IHuhSq3AJ5eI5OnqOPBNLWSHKh2a30DoXe8/edit?usp=sharing"",""ปัตตานี!J157"")"),0)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IFERROR(__xludf.DUMMYFUNCTION("IMPORTRANGE(""https://docs.google.com/spreadsheets/d/1IYY_tgx_IHuhSq3AJ5eI5OnqOPBNLWSHKh2a30DoXe8/edit?usp=sharing"",""ปัตตานี!I158"")"),0)</f>
        <v>0</v>
      </c>
      <c r="J238" s="273">
        <f ca="1">IFERROR(__xludf.DUMMYFUNCTION("IMPORTRANGE(""https://docs.google.com/spreadsheets/d/1IYY_tgx_IHuhSq3AJ5eI5OnqOPBNLWSHKh2a30DoXe8/edit?usp=sharing"",""ปัตตานี!J158"")"),0)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IFERROR(__xludf.DUMMYFUNCTION("IMPORTRANGE(""https://docs.google.com/spreadsheets/d/1IYY_tgx_IHuhSq3AJ5eI5OnqOPBNLWSHKh2a30DoXe8/edit?usp=sharing"",""ปัตตานี!J159"")"),"")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IFERROR(__xludf.DUMMYFUNCTION("IMPORTRANGE(""https://docs.google.com/spreadsheets/d/1IYY_tgx_IHuhSq3AJ5eI5OnqOPBNLWSHKh2a30DoXe8/edit?usp=sharing"",""ปัตตานี!J161"")"),0)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IFERROR(__xludf.DUMMYFUNCTION("IMPORTRANGE(""https://docs.google.com/spreadsheets/d/1IYY_tgx_IHuhSq3AJ5eI5OnqOPBNLWSHKh2a30DoXe8/edit?usp=sharing"",""ปัตตานี!J162"")"),0)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IFERROR(__xludf.DUMMYFUNCTION("IMPORTRANGE(""https://docs.google.com/spreadsheets/d/1IYY_tgx_IHuhSq3AJ5eI5OnqOPBNLWSHKh2a30DoXe8/edit?usp=sharing"",""ปัตตานี!J163"")"),0)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IFERROR(__xludf.DUMMYFUNCTION("IMPORTRANGE(""https://docs.google.com/spreadsheets/d/1IYY_tgx_IHuhSq3AJ5eI5OnqOPBNLWSHKh2a30DoXe8/edit?usp=sharing"",""ปัตตานี!I164"")"),0)</f>
        <v>0</v>
      </c>
      <c r="J244" s="194">
        <f ca="1">IFERROR(__xludf.DUMMYFUNCTION("IMPORTRANGE(""https://docs.google.com/spreadsheets/d/1IYY_tgx_IHuhSq3AJ5eI5OnqOPBNLWSHKh2a30DoXe8/edit?usp=sharing"",""ปัตตานี!J164"")"),0)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IFERROR(__xludf.DUMMYFUNCTION("IMPORTRANGE(""https://docs.google.com/spreadsheets/d/1IYY_tgx_IHuhSq3AJ5eI5OnqOPBNLWSHKh2a30DoXe8/edit?usp=sharing"",""ปัตตานี!J165"")"),0)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IFERROR(__xludf.DUMMYFUNCTION("IMPORTRANGE(""https://docs.google.com/spreadsheets/d/1IYY_tgx_IHuhSq3AJ5eI5OnqOPBNLWSHKh2a30DoXe8/edit?usp=sharing"",""ปัตตานี!J166"")"),0)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IFERROR(__xludf.DUMMYFUNCTION("IMPORTRANGE(""https://docs.google.com/spreadsheets/d/1IYY_tgx_IHuhSq3AJ5eI5OnqOPBNLWSHKh2a30DoXe8/edit?usp=sharing"",""ปัตตานี!I169"")"),0)</f>
        <v>0</v>
      </c>
      <c r="J249" s="322">
        <f ca="1">IFERROR(__xludf.DUMMYFUNCTION("IMPORTRANGE(""https://docs.google.com/spreadsheets/d/1IYY_tgx_IHuhSq3AJ5eI5OnqOPBNLWSHKh2a30DoXe8/edit?usp=sharing"",""ปัตตานี!J169"")"),0)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2" t="s">
        <v>17</v>
      </c>
      <c r="E250" s="573"/>
      <c r="F250" s="573"/>
      <c r="G250" s="573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3">
      <c r="A253" s="162"/>
      <c r="B253" s="163"/>
      <c r="C253" s="163" t="s">
        <v>16</v>
      </c>
      <c r="D253" s="574" t="s">
        <v>20</v>
      </c>
      <c r="E253" s="575"/>
      <c r="F253" s="575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IFERROR(__xludf.DUMMYFUNCTION("IMPORTRANGE(""https://docs.google.com/spreadsheets/d/1Yj_ptqi66GCucihVvJfMjLAmec39IyEx_6qawtMGysU/edit?usp=sharing"",""สบก!CB86"")"),0)</f>
        <v>0</v>
      </c>
      <c r="N254" s="174">
        <f ca="1">IFERROR(__xludf.DUMMYFUNCTION("IMPORTRANGE(""https://docs.google.com/spreadsheets/d/1Yj_ptqi66GCucihVvJfMjLAmec39IyEx_6qawtMGysU/edit?usp=sharing"",""สบก!CC86"")"),0)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IFERROR(__xludf.DUMMYFUNCTION("IMPORTRANGE(""https://docs.google.com/spreadsheets/d/1Yj_ptqi66GCucihVvJfMjLAmec39IyEx_6qawtMGysU/edit?usp=sharing"",""สบก!BX86"")"),0)</f>
        <v>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IFERROR(__xludf.DUMMYFUNCTION("IMPORTRANGE(""https://docs.google.com/spreadsheets/d/1Yj_ptqi66GCucihVvJfMjLAmec39IyEx_6qawtMGysU/edit?usp=sharing"",""สบก!BY86"")"),0)</f>
        <v>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6" t="s">
        <v>23</v>
      </c>
      <c r="E257" s="575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IFERROR(__xludf.DUMMYFUNCTION("IMPORTRANGE(""https://docs.google.com/spreadsheets/d/1Yj_ptqi66GCucihVvJfMjLAmec39IyEx_6qawtMGysU/edit?usp=sharing"",""สบก!BZ86"")"),0)</f>
        <v>0</v>
      </c>
      <c r="M258" s="101"/>
      <c r="N258" s="91">
        <f ca="1">IFERROR(__xludf.DUMMYFUNCTION("IMPORTRANGE(""https://docs.google.com/spreadsheets/d/1Yj_ptqi66GCucihVvJfMjLAmec39IyEx_6qawtMGysU/edit?usp=sharing"",""สบก!CD86"")"),0)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IFERROR(__xludf.DUMMYFUNCTION("IMPORTRANGE(""https://docs.google.com/spreadsheets/d/1IYY_tgx_IHuhSq3AJ5eI5OnqOPBNLWSHKh2a30DoXe8/edit?usp=sharing"",""ปัตตานี!J175"")"),0)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IFERROR(__xludf.DUMMYFUNCTION("IMPORTRANGE(""https://docs.google.com/spreadsheets/d/1IYY_tgx_IHuhSq3AJ5eI5OnqOPBNLWSHKh2a30DoXe8/edit?usp=sharing"",""ปัตตานี!J176"")"),0)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IFERROR(__xludf.DUMMYFUNCTION("IMPORTRANGE(""https://docs.google.com/spreadsheets/d/1IYY_tgx_IHuhSq3AJ5eI5OnqOPBNLWSHKh2a30DoXe8/edit?usp=sharing"",""ปัตตานี!J177"")"),0)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IFERROR(__xludf.DUMMYFUNCTION("IMPORTRANGE(""https://docs.google.com/spreadsheets/d/1IYY_tgx_IHuhSq3AJ5eI5OnqOPBNLWSHKh2a30DoXe8/edit?usp=sharing"",""ปัตตานี!J178"")"),0)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IFERROR(__xludf.DUMMYFUNCTION("IMPORTRANGE(""https://docs.google.com/spreadsheets/d/1IYY_tgx_IHuhSq3AJ5eI5OnqOPBNLWSHKh2a30DoXe8/edit?usp=sharing"",""ปัตตานี!I179"")"),0)</f>
        <v>0</v>
      </c>
      <c r="J264" s="195">
        <f ca="1">IFERROR(__xludf.DUMMYFUNCTION("IMPORTRANGE(""https://docs.google.com/spreadsheets/d/1IYY_tgx_IHuhSq3AJ5eI5OnqOPBNLWSHKh2a30DoXe8/edit?usp=sharing"",""ปัตตานี!J179"")"),0)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IFERROR(__xludf.DUMMYFUNCTION("IMPORTRANGE(""https://docs.google.com/spreadsheets/d/1IYY_tgx_IHuhSq3AJ5eI5OnqOPBNLWSHKh2a30DoXe8/edit?usp=sharing"",""ปัตตานี!I180"")"),0)</f>
        <v>0</v>
      </c>
      <c r="J265" s="195">
        <f ca="1">IFERROR(__xludf.DUMMYFUNCTION("IMPORTRANGE(""https://docs.google.com/spreadsheets/d/1IYY_tgx_IHuhSq3AJ5eI5OnqOPBNLWSHKh2a30DoXe8/edit?usp=sharing"",""ปัตตานี!J180"")"),0)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IFERROR(__xludf.DUMMYFUNCTION("IMPORTRANGE(""https://docs.google.com/spreadsheets/d/1IYY_tgx_IHuhSq3AJ5eI5OnqOPBNLWSHKh2a30DoXe8/edit?usp=sharing"",""ปัตตานี!I181"")"),0)</f>
        <v>0</v>
      </c>
      <c r="J266" s="195">
        <f ca="1">IFERROR(__xludf.DUMMYFUNCTION("IMPORTRANGE(""https://docs.google.com/spreadsheets/d/1IYY_tgx_IHuhSq3AJ5eI5OnqOPBNLWSHKh2a30DoXe8/edit?usp=sharing"",""ปัตตานี!J181"")"),0)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IFERROR(__xludf.DUMMYFUNCTION("IMPORTRANGE(""https://docs.google.com/spreadsheets/d/1IYY_tgx_IHuhSq3AJ5eI5OnqOPBNLWSHKh2a30DoXe8/edit?usp=sharing"",""ปัตตานี!I182"")"),0)</f>
        <v>0</v>
      </c>
      <c r="J267" s="195">
        <f ca="1">IFERROR(__xludf.DUMMYFUNCTION("IMPORTRANGE(""https://docs.google.com/spreadsheets/d/1IYY_tgx_IHuhSq3AJ5eI5OnqOPBNLWSHKh2a30DoXe8/edit?usp=sharing"",""ปัตตานี!J182"")"),0)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IFERROR(__xludf.DUMMYFUNCTION("IMPORTRANGE(""https://docs.google.com/spreadsheets/d/1IYY_tgx_IHuhSq3AJ5eI5OnqOPBNLWSHKh2a30DoXe8/edit?usp=sharing"",""ปัตตานี!J183"")"),0)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IFERROR(__xludf.DUMMYFUNCTION("IMPORTRANGE(""https://docs.google.com/spreadsheets/d/1IYY_tgx_IHuhSq3AJ5eI5OnqOPBNLWSHKh2a30DoXe8/edit?usp=sharing"",""ปัตตานี!J184"")"),0)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IFERROR(__xludf.DUMMYFUNCTION("IMPORTRANGE(""https://docs.google.com/spreadsheets/d/1IYY_tgx_IHuhSq3AJ5eI5OnqOPBNLWSHKh2a30DoXe8/edit?usp=sharing"",""ปัตตานี!I185"")"),0)</f>
        <v>0</v>
      </c>
      <c r="J270" s="322">
        <f ca="1">IFERROR(__xludf.DUMMYFUNCTION("IMPORTRANGE(""https://docs.google.com/spreadsheets/d/1IYY_tgx_IHuhSq3AJ5eI5OnqOPBNLWSHKh2a30DoXe8/edit?usp=sharing"",""ปัตตานี!J185"")"),0)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2" t="s">
        <v>17</v>
      </c>
      <c r="E271" s="573"/>
      <c r="F271" s="573"/>
      <c r="G271" s="573"/>
      <c r="H271" s="153" t="s">
        <v>12</v>
      </c>
      <c r="I271" s="166"/>
      <c r="J271" s="166"/>
      <c r="K271" s="167"/>
      <c r="L271" s="156">
        <f t="shared" ref="L271:N271" ca="1" si="83">L272+L273</f>
        <v>0</v>
      </c>
      <c r="M271" s="156">
        <f t="shared" ca="1" si="83"/>
        <v>0</v>
      </c>
      <c r="N271" s="156">
        <f t="shared" ca="1" si="83"/>
        <v>0</v>
      </c>
      <c r="O271" s="155">
        <f t="shared" ref="O271:O273" ca="1" si="84">IF(L271&gt;0,N271*100/L271,0)</f>
        <v>0</v>
      </c>
      <c r="P271" s="155">
        <f t="shared" ref="P271:P273" ca="1" si="85">IF(M271&gt;0,N271*100/M271,0)</f>
        <v>0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0</v>
      </c>
      <c r="M273" s="161">
        <f t="shared" ca="1" si="87"/>
        <v>0</v>
      </c>
      <c r="N273" s="161">
        <f t="shared" ca="1" si="87"/>
        <v>0</v>
      </c>
      <c r="O273" s="160">
        <f t="shared" ca="1" si="84"/>
        <v>0</v>
      </c>
      <c r="P273" s="160">
        <f t="shared" ca="1" si="85"/>
        <v>0</v>
      </c>
    </row>
    <row r="274" spans="1:16" ht="21.75" customHeight="1" x14ac:dyDescent="0.3">
      <c r="A274" s="162"/>
      <c r="B274" s="163"/>
      <c r="C274" s="163" t="s">
        <v>16</v>
      </c>
      <c r="D274" s="574" t="s">
        <v>20</v>
      </c>
      <c r="E274" s="575"/>
      <c r="F274" s="575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0</v>
      </c>
      <c r="M275" s="173">
        <f ca="1">IFERROR(__xludf.DUMMYFUNCTION("IMPORTRANGE(""https://docs.google.com/spreadsheets/d/1Yj_ptqi66GCucihVvJfMjLAmec39IyEx_6qawtMGysU/edit?usp=sharing"",""สบก!CK86"")"),0)</f>
        <v>0</v>
      </c>
      <c r="N275" s="174">
        <f ca="1">IFERROR(__xludf.DUMMYFUNCTION("IMPORTRANGE(""https://docs.google.com/spreadsheets/d/1Yj_ptqi66GCucihVvJfMjLAmec39IyEx_6qawtMGysU/edit?usp=sharing"",""สบก!CL86"")"),0)</f>
        <v>0</v>
      </c>
      <c r="O275" s="175">
        <f ca="1">IF(L275&gt;0,N275*100/L275,0)</f>
        <v>0</v>
      </c>
      <c r="P275" s="175">
        <f ca="1">IF(M275&gt;0,N275*100/M275,0)</f>
        <v>0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IFERROR(__xludf.DUMMYFUNCTION("IMPORTRANGE(""https://docs.google.com/spreadsheets/d/1Yj_ptqi66GCucihVvJfMjLAmec39IyEx_6qawtMGysU/edit?usp=sharing"",""สบก!CG86"")"),0)</f>
        <v>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IFERROR(__xludf.DUMMYFUNCTION("IMPORTRANGE(""https://docs.google.com/spreadsheets/d/1Yj_ptqi66GCucihVvJfMjLAmec39IyEx_6qawtMGysU/edit?usp=sharing"",""สบก!CH86"")"),0)</f>
        <v>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6" t="s">
        <v>23</v>
      </c>
      <c r="E278" s="575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IFERROR(__xludf.DUMMYFUNCTION("IMPORTRANGE(""https://docs.google.com/spreadsheets/d/1Yj_ptqi66GCucihVvJfMjLAmec39IyEx_6qawtMGysU/edit?usp=sharing"",""สบก!CI86"")"),0)</f>
        <v>0</v>
      </c>
      <c r="M279" s="101"/>
      <c r="N279" s="91">
        <f ca="1">IFERROR(__xludf.DUMMYFUNCTION("IMPORTRANGE(""https://docs.google.com/spreadsheets/d/1Yj_ptqi66GCucihVvJfMjLAmec39IyEx_6qawtMGysU/edit?usp=sharing"",""สบก!CM86"")"),0)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IFERROR(__xludf.DUMMYFUNCTION("IMPORTRANGE(""https://docs.google.com/spreadsheets/d/1IYY_tgx_IHuhSq3AJ5eI5OnqOPBNLWSHKh2a30DoXe8/edit?usp=sharing"",""ปัตตานี!J191"")"),0)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IFERROR(__xludf.DUMMYFUNCTION("IMPORTRANGE(""https://docs.google.com/spreadsheets/d/1IYY_tgx_IHuhSq3AJ5eI5OnqOPBNLWSHKh2a30DoXe8/edit?usp=sharing"",""ปัตตานี!J192"")"),0)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IFERROR(__xludf.DUMMYFUNCTION("IMPORTRANGE(""https://docs.google.com/spreadsheets/d/1IYY_tgx_IHuhSq3AJ5eI5OnqOPBNLWSHKh2a30DoXe8/edit?usp=sharing"",""ปัตตานี!J193"")"),0)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IFERROR(__xludf.DUMMYFUNCTION("IMPORTRANGE(""https://docs.google.com/spreadsheets/d/1IYY_tgx_IHuhSq3AJ5eI5OnqOPBNLWSHKh2a30DoXe8/edit?usp=sharing"",""ปัตตานี!J194"")"),0)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IFERROR(__xludf.DUMMYFUNCTION("IMPORTRANGE(""https://docs.google.com/spreadsheets/d/1IYY_tgx_IHuhSq3AJ5eI5OnqOPBNLWSHKh2a30DoXe8/edit?usp=sharing"",""ปัตตานี!I195"")"),0)</f>
        <v>0</v>
      </c>
      <c r="J285" s="195">
        <f ca="1">IFERROR(__xludf.DUMMYFUNCTION("IMPORTRANGE(""https://docs.google.com/spreadsheets/d/1IYY_tgx_IHuhSq3AJ5eI5OnqOPBNLWSHKh2a30DoXe8/edit?usp=sharing"",""ปัตตานี!J195"")"),0)</f>
        <v>0</v>
      </c>
      <c r="K285" s="167">
        <f ca="1">IF(I285&gt;0,J285*100/I285,0)</f>
        <v>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IFERROR(__xludf.DUMMYFUNCTION("IMPORTRANGE(""https://docs.google.com/spreadsheets/d/1IYY_tgx_IHuhSq3AJ5eI5OnqOPBNLWSHKh2a30DoXe8/edit?usp=sharing"",""ปัตตานี!J196"")"),0)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IFERROR(__xludf.DUMMYFUNCTION("IMPORTRANGE(""https://docs.google.com/spreadsheets/d/1IYY_tgx_IHuhSq3AJ5eI5OnqOPBNLWSHKh2a30DoXe8/edit?usp=sharing"",""ปัตตานี!J197"")"),0)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IFERROR(__xludf.DUMMYFUNCTION("IMPORTRANGE(""https://docs.google.com/spreadsheets/d/1IYY_tgx_IHuhSq3AJ5eI5OnqOPBNLWSHKh2a30DoXe8/edit?usp=sharing"",""ปัตตานี!I199"")"),0)</f>
        <v>0</v>
      </c>
      <c r="J289" s="322">
        <f ca="1">IFERROR(__xludf.DUMMYFUNCTION("IMPORTRANGE(""https://docs.google.com/spreadsheets/d/1IYY_tgx_IHuhSq3AJ5eI5OnqOPBNLWSHKh2a30DoXe8/edit?usp=sharing"",""ปัตตานี!J199"")"),0)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2" t="s">
        <v>17</v>
      </c>
      <c r="E290" s="573"/>
      <c r="F290" s="573"/>
      <c r="G290" s="573"/>
      <c r="H290" s="153" t="s">
        <v>12</v>
      </c>
      <c r="I290" s="194"/>
      <c r="J290" s="194"/>
      <c r="K290" s="230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3">
      <c r="A293" s="162"/>
      <c r="B293" s="163"/>
      <c r="C293" s="163" t="s">
        <v>16</v>
      </c>
      <c r="D293" s="574" t="s">
        <v>20</v>
      </c>
      <c r="E293" s="575"/>
      <c r="F293" s="575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IFERROR(__xludf.DUMMYFUNCTION("IMPORTRANGE(""https://docs.google.com/spreadsheets/d/1Yj_ptqi66GCucihVvJfMjLAmec39IyEx_6qawtMGysU/edit?usp=sharing"",""สบก!CT86"")"),0)</f>
        <v>0</v>
      </c>
      <c r="N294" s="174">
        <f ca="1">IFERROR(__xludf.DUMMYFUNCTION("IMPORTRANGE(""https://docs.google.com/spreadsheets/d/1Yj_ptqi66GCucihVvJfMjLAmec39IyEx_6qawtMGysU/edit?usp=sharing"",""สบก!CU86"")"),0)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IFERROR(__xludf.DUMMYFUNCTION("IMPORTRANGE(""https://docs.google.com/spreadsheets/d/1Yj_ptqi66GCucihVvJfMjLAmec39IyEx_6qawtMGysU/edit?usp=sharing"",""สบก!CP86"")"),0)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IFERROR(__xludf.DUMMYFUNCTION("IMPORTRANGE(""https://docs.google.com/spreadsheets/d/1Yj_ptqi66GCucihVvJfMjLAmec39IyEx_6qawtMGysU/edit?usp=sharing"",""สบก!CQ86"")"),0)</f>
        <v>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6" t="s">
        <v>23</v>
      </c>
      <c r="E297" s="575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IFERROR(__xludf.DUMMYFUNCTION("IMPORTRANGE(""https://docs.google.com/spreadsheets/d/1Yj_ptqi66GCucihVvJfMjLAmec39IyEx_6qawtMGysU/edit?usp=sharing"",""สบก!CR86"")"),0)</f>
        <v>0</v>
      </c>
      <c r="M298" s="101"/>
      <c r="N298" s="91">
        <f ca="1">IFERROR(__xludf.DUMMYFUNCTION("IMPORTRANGE(""https://docs.google.com/spreadsheets/d/1Yj_ptqi66GCucihVvJfMjLAmec39IyEx_6qawtMGysU/edit?usp=sharing"",""สบก!CV86"")"),0)</f>
        <v>0</v>
      </c>
      <c r="O298" s="101">
        <f ca="1">IF(L298&gt;0,N298*100/L298,0)</f>
        <v>0</v>
      </c>
      <c r="P298" s="101"/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IFERROR(__xludf.DUMMYFUNCTION("IMPORTRANGE(""https://docs.google.com/spreadsheets/d/1IYY_tgx_IHuhSq3AJ5eI5OnqOPBNLWSHKh2a30DoXe8/edit?usp=sharing"",""ปัตตานี!J205"")"),0)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IFERROR(__xludf.DUMMYFUNCTION("IMPORTRANGE(""https://docs.google.com/spreadsheets/d/1IYY_tgx_IHuhSq3AJ5eI5OnqOPBNLWSHKh2a30DoXe8/edit?usp=sharing"",""ปัตตานี!J206"")"),0)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IFERROR(__xludf.DUMMYFUNCTION("IMPORTRANGE(""https://docs.google.com/spreadsheets/d/1IYY_tgx_IHuhSq3AJ5eI5OnqOPBNLWSHKh2a30DoXe8/edit?usp=sharing"",""ปัตตานี!J207"")"),0)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IFERROR(__xludf.DUMMYFUNCTION("IMPORTRANGE(""https://docs.google.com/spreadsheets/d/1IYY_tgx_IHuhSq3AJ5eI5OnqOPBNLWSHKh2a30DoXe8/edit?usp=sharing"",""ปัตตานี!J208"")"),0)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IFERROR(__xludf.DUMMYFUNCTION("IMPORTRANGE(""https://docs.google.com/spreadsheets/d/1IYY_tgx_IHuhSq3AJ5eI5OnqOPBNLWSHKh2a30DoXe8/edit?usp=sharing"",""ปัตตานี!I209"")"),0)</f>
        <v>0</v>
      </c>
      <c r="J304" s="210">
        <f ca="1">IFERROR(__xludf.DUMMYFUNCTION("IMPORTRANGE(""https://docs.google.com/spreadsheets/d/1IYY_tgx_IHuhSq3AJ5eI5OnqOPBNLWSHKh2a30DoXe8/edit?usp=sharing"",""ปัตตานี!J209"")"),0)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IFERROR(__xludf.DUMMYFUNCTION("IMPORTRANGE(""https://docs.google.com/spreadsheets/d/1IYY_tgx_IHuhSq3AJ5eI5OnqOPBNLWSHKh2a30DoXe8/edit?usp=sharing"",""ปัตตานี!I211"")"),0)</f>
        <v>0</v>
      </c>
      <c r="J306" s="210">
        <f ca="1">IFERROR(__xludf.DUMMYFUNCTION("IMPORTRANGE(""https://docs.google.com/spreadsheets/d/1IYY_tgx_IHuhSq3AJ5eI5OnqOPBNLWSHKh2a30DoXe8/edit?usp=sharing"",""ปัตตานี!J211"")"),0)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IFERROR(__xludf.DUMMYFUNCTION("IMPORTRANGE(""https://docs.google.com/spreadsheets/d/1IYY_tgx_IHuhSq3AJ5eI5OnqOPBNLWSHKh2a30DoXe8/edit?usp=sharing"",""ปัตตานี!J212"")"),0)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IFERROR(__xludf.DUMMYFUNCTION("IMPORTRANGE(""https://docs.google.com/spreadsheets/d/1IYY_tgx_IHuhSq3AJ5eI5OnqOPBNLWSHKh2a30DoXe8/edit?usp=sharing"",""ปัตตานี!J213"")"),0)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IFERROR(__xludf.DUMMYFUNCTION("IMPORTRANGE(""https://docs.google.com/spreadsheets/d/1IYY_tgx_IHuhSq3AJ5eI5OnqOPBNLWSHKh2a30DoXe8/edit?usp=sharing"",""ปัตตานี!I214"")"),0)</f>
        <v>0</v>
      </c>
      <c r="J309" s="339">
        <f ca="1">IFERROR(__xludf.DUMMYFUNCTION("IMPORTRANGE(""https://docs.google.com/spreadsheets/d/1IYY_tgx_IHuhSq3AJ5eI5OnqOPBNLWSHKh2a30DoXe8/edit?usp=sharing"",""ปัตตานี!J214"")"),0)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2" t="s">
        <v>17</v>
      </c>
      <c r="E310" s="573"/>
      <c r="F310" s="573"/>
      <c r="G310" s="573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3">
      <c r="A313" s="162"/>
      <c r="B313" s="163"/>
      <c r="C313" s="163" t="s">
        <v>16</v>
      </c>
      <c r="D313" s="574" t="s">
        <v>20</v>
      </c>
      <c r="E313" s="575"/>
      <c r="F313" s="575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IFERROR(__xludf.DUMMYFUNCTION("IMPORTRANGE(""https://docs.google.com/spreadsheets/d/1Yj_ptqi66GCucihVvJfMjLAmec39IyEx_6qawtMGysU/edit?usp=sharing"",""สบก!DC86"")"),0)</f>
        <v>0</v>
      </c>
      <c r="N314" s="174">
        <f ca="1">IFERROR(__xludf.DUMMYFUNCTION("IMPORTRANGE(""https://docs.google.com/spreadsheets/d/1Yj_ptqi66GCucihVvJfMjLAmec39IyEx_6qawtMGysU/edit?usp=sharing"",""สบก!DD86"")"),0)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IFERROR(__xludf.DUMMYFUNCTION("IMPORTRANGE(""https://docs.google.com/spreadsheets/d/1Yj_ptqi66GCucihVvJfMjLAmec39IyEx_6qawtMGysU/edit?usp=sharing"",""สบก!CY86"")"),0)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IFERROR(__xludf.DUMMYFUNCTION("IMPORTRANGE(""https://docs.google.com/spreadsheets/d/1Yj_ptqi66GCucihVvJfMjLAmec39IyEx_6qawtMGysU/edit?usp=sharing"",""สบก!CZ86"")"),0)</f>
        <v>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6" t="s">
        <v>23</v>
      </c>
      <c r="E317" s="575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IFERROR(__xludf.DUMMYFUNCTION("IMPORTRANGE(""https://docs.google.com/spreadsheets/d/1Yj_ptqi66GCucihVvJfMjLAmec39IyEx_6qawtMGysU/edit?usp=sharing"",""สบก!DA86"")"),0)</f>
        <v>0</v>
      </c>
      <c r="M318" s="101"/>
      <c r="N318" s="91">
        <f ca="1">IFERROR(__xludf.DUMMYFUNCTION("IMPORTRANGE(""https://docs.google.com/spreadsheets/d/1Yj_ptqi66GCucihVvJfMjLAmec39IyEx_6qawtMGysU/edit?usp=sharing"",""สบก!DE86"")"),0)</f>
        <v>0</v>
      </c>
      <c r="O318" s="101">
        <f ca="1">IF(L318&gt;0,N318*100/L318,0)</f>
        <v>0</v>
      </c>
      <c r="P318" s="101"/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IFERROR(__xludf.DUMMYFUNCTION("IMPORTRANGE(""https://docs.google.com/spreadsheets/d/1IYY_tgx_IHuhSq3AJ5eI5OnqOPBNLWSHKh2a30DoXe8/edit?usp=sharing"",""ปัตตานี!J220"")"),0)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IFERROR(__xludf.DUMMYFUNCTION("IMPORTRANGE(""https://docs.google.com/spreadsheets/d/1IYY_tgx_IHuhSq3AJ5eI5OnqOPBNLWSHKh2a30DoXe8/edit?usp=sharing"",""ปัตตานี!J221"")"),0)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IFERROR(__xludf.DUMMYFUNCTION("IMPORTRANGE(""https://docs.google.com/spreadsheets/d/1IYY_tgx_IHuhSq3AJ5eI5OnqOPBNLWSHKh2a30DoXe8/edit?usp=sharing"",""ปัตตานี!J222"")"),0)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IFERROR(__xludf.DUMMYFUNCTION("IMPORTRANGE(""https://docs.google.com/spreadsheets/d/1IYY_tgx_IHuhSq3AJ5eI5OnqOPBNLWSHKh2a30DoXe8/edit?usp=sharing"",""ปัตตานี!J223"")"),0)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IFERROR(__xludf.DUMMYFUNCTION("IMPORTRANGE(""https://docs.google.com/spreadsheets/d/1IYY_tgx_IHuhSq3AJ5eI5OnqOPBNLWSHKh2a30DoXe8/edit?usp=sharing"",""ปัตตานี!I224"")"),0)</f>
        <v>0</v>
      </c>
      <c r="J324" s="210">
        <f ca="1">IFERROR(__xludf.DUMMYFUNCTION("IMPORTRANGE(""https://docs.google.com/spreadsheets/d/1IYY_tgx_IHuhSq3AJ5eI5OnqOPBNLWSHKh2a30DoXe8/edit?usp=sharing"",""ปัตตานี!J224"")"),0)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IFERROR(__xludf.DUMMYFUNCTION("IMPORTRANGE(""https://docs.google.com/spreadsheets/d/1IYY_tgx_IHuhSq3AJ5eI5OnqOPBNLWSHKh2a30DoXe8/edit?usp=sharing"",""ปัตตานี!J225"")"),0)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IFERROR(__xludf.DUMMYFUNCTION("IMPORTRANGE(""https://docs.google.com/spreadsheets/d/1IYY_tgx_IHuhSq3AJ5eI5OnqOPBNLWSHKh2a30DoXe8/edit?usp=sharing"",""ปัตตานี!J226"")"),0)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IFERROR(__xludf.DUMMYFUNCTION("IMPORTRANGE(""https://docs.google.com/spreadsheets/d/1IYY_tgx_IHuhSq3AJ5eI5OnqOPBNLWSHKh2a30DoXe8/edit?usp=sharing"",""ปัตตานี!I228"")"),210)</f>
        <v>210</v>
      </c>
      <c r="J328" s="345">
        <f ca="1">IFERROR(__xludf.DUMMYFUNCTION("IMPORTRANGE(""https://docs.google.com/spreadsheets/d/1IYY_tgx_IHuhSq3AJ5eI5OnqOPBNLWSHKh2a30DoXe8/edit?usp=sharing"",""ปัตตานี!J228"")"),268)</f>
        <v>268</v>
      </c>
      <c r="K328" s="323">
        <f ca="1">IF(I328&gt;0,J328*100/I328,0)</f>
        <v>127.61904761904762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2" t="s">
        <v>17</v>
      </c>
      <c r="E329" s="573"/>
      <c r="F329" s="573"/>
      <c r="G329" s="573"/>
      <c r="H329" s="153" t="s">
        <v>12</v>
      </c>
      <c r="I329" s="166"/>
      <c r="J329" s="166"/>
      <c r="K329" s="167"/>
      <c r="L329" s="156">
        <f t="shared" ref="L329:N329" ca="1" si="98">L330+L331</f>
        <v>707640</v>
      </c>
      <c r="M329" s="156">
        <f t="shared" ca="1" si="98"/>
        <v>746640</v>
      </c>
      <c r="N329" s="156">
        <f t="shared" ca="1" si="98"/>
        <v>675217.65</v>
      </c>
      <c r="O329" s="155">
        <f t="shared" ref="O329:O331" ca="1" si="99">IF(L329&gt;0,N329*100/L329,0)</f>
        <v>95.418242326606745</v>
      </c>
      <c r="P329" s="155">
        <f t="shared" ref="P329:P331" ca="1" si="100">IF(M329&gt;0,N329*100/M329,0)</f>
        <v>90.434165059466409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707640</v>
      </c>
      <c r="M331" s="161">
        <f t="shared" ca="1" si="102"/>
        <v>746640</v>
      </c>
      <c r="N331" s="161">
        <f t="shared" ca="1" si="102"/>
        <v>675217.65</v>
      </c>
      <c r="O331" s="160">
        <f t="shared" ca="1" si="99"/>
        <v>95.418242326606745</v>
      </c>
      <c r="P331" s="160">
        <f t="shared" ca="1" si="100"/>
        <v>90.434165059466409</v>
      </c>
    </row>
    <row r="332" spans="1:16" ht="21.75" customHeight="1" x14ac:dyDescent="0.3">
      <c r="A332" s="162"/>
      <c r="B332" s="163"/>
      <c r="C332" s="163" t="s">
        <v>16</v>
      </c>
      <c r="D332" s="574" t="s">
        <v>20</v>
      </c>
      <c r="E332" s="575"/>
      <c r="F332" s="575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695140</v>
      </c>
      <c r="M333" s="173">
        <f ca="1">IFERROR(__xludf.DUMMYFUNCTION("IMPORTRANGE(""https://docs.google.com/spreadsheets/d/1Yj_ptqi66GCucihVvJfMjLAmec39IyEx_6qawtMGysU/edit?usp=sharing"",""สบก!DL86"")"),734140)</f>
        <v>734140</v>
      </c>
      <c r="N333" s="174">
        <f ca="1">IFERROR(__xludf.DUMMYFUNCTION("IMPORTRANGE(""https://docs.google.com/spreadsheets/d/1Yj_ptqi66GCucihVvJfMjLAmec39IyEx_6qawtMGysU/edit?usp=sharing"",""สบก!DM86"")"),662717.65)</f>
        <v>662717.65</v>
      </c>
      <c r="O333" s="175">
        <f ca="1">IF(L333&gt;0,N333*100/L333,0)</f>
        <v>95.335853209425437</v>
      </c>
      <c r="P333" s="175">
        <f ca="1">IF(M333&gt;0,N333*100/M333,0)</f>
        <v>90.2712902171248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IFERROR(__xludf.DUMMYFUNCTION("IMPORTRANGE(""https://docs.google.com/spreadsheets/d/1Yj_ptqi66GCucihVvJfMjLAmec39IyEx_6qawtMGysU/edit?usp=sharing"",""สบก!DH86"")"),417600)</f>
        <v>417600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IFERROR(__xludf.DUMMYFUNCTION("IMPORTRANGE(""https://docs.google.com/spreadsheets/d/1Yj_ptqi66GCucihVvJfMjLAmec39IyEx_6qawtMGysU/edit?usp=sharing"",""สบก!DI86"")"),277540)</f>
        <v>277540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6" t="s">
        <v>23</v>
      </c>
      <c r="E336" s="575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IFERROR(__xludf.DUMMYFUNCTION("IMPORTRANGE(""https://docs.google.com/spreadsheets/d/1Yj_ptqi66GCucihVvJfMjLAmec39IyEx_6qawtMGysU/edit?usp=sharing"",""สบก!DJ86"")"),12500)</f>
        <v>12500</v>
      </c>
      <c r="M337" s="101">
        <f ca="1">L337</f>
        <v>12500</v>
      </c>
      <c r="N337" s="91">
        <f ca="1">IFERROR(__xludf.DUMMYFUNCTION("IMPORTRANGE(""https://docs.google.com/spreadsheets/d/1Yj_ptqi66GCucihVvJfMjLAmec39IyEx_6qawtMGysU/edit?usp=sharing"",""สบก!DN86"")"),12500)</f>
        <v>12500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IFERROR(__xludf.DUMMYFUNCTION("IMPORTRANGE(""https://docs.google.com/spreadsheets/d/1IYY_tgx_IHuhSq3AJ5eI5OnqOPBNLWSHKh2a30DoXe8/edit?usp=sharing"",""ปัตตานี!I234"")"),0)</f>
        <v>0</v>
      </c>
      <c r="J339" s="194">
        <f ca="1">IFERROR(__xludf.DUMMYFUNCTION("IMPORTRANGE(""https://docs.google.com/spreadsheets/d/1IYY_tgx_IHuhSq3AJ5eI5OnqOPBNLWSHKh2a30DoXe8/edit?usp=sharing"",""ปัตตานี!J234"")"),238)</f>
        <v>238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IFERROR(__xludf.DUMMYFUNCTION("IMPORTRANGE(""https://docs.google.com/spreadsheets/d/1IYY_tgx_IHuhSq3AJ5eI5OnqOPBNLWSHKh2a30DoXe8/edit?usp=sharing"",""ปัตตานี!I235"")"),944)</f>
        <v>944</v>
      </c>
      <c r="J340" s="194">
        <f ca="1">IFERROR(__xludf.DUMMYFUNCTION("IMPORTRANGE(""https://docs.google.com/spreadsheets/d/1IYY_tgx_IHuhSq3AJ5eI5OnqOPBNLWSHKh2a30DoXe8/edit?usp=sharing"",""ปัตตานี!J235"")"),989.55)</f>
        <v>989.55</v>
      </c>
      <c r="K340" s="348">
        <f t="shared" ca="1" si="103"/>
        <v>104.82521186440678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IFERROR(__xludf.DUMMYFUNCTION("IMPORTRANGE(""https://docs.google.com/spreadsheets/d/1IYY_tgx_IHuhSq3AJ5eI5OnqOPBNLWSHKh2a30DoXe8/edit?usp=sharing"",""ปัตตานี!I236"")"),210)</f>
        <v>210</v>
      </c>
      <c r="J341" s="194">
        <f ca="1">IFERROR(__xludf.DUMMYFUNCTION("IMPORTRANGE(""https://docs.google.com/spreadsheets/d/1IYY_tgx_IHuhSq3AJ5eI5OnqOPBNLWSHKh2a30DoXe8/edit?usp=sharing"",""ปัตตานี!J236"")"),281)</f>
        <v>281</v>
      </c>
      <c r="K341" s="348">
        <f t="shared" ca="1" si="103"/>
        <v>133.8095238095238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IFERROR(__xludf.DUMMYFUNCTION("IMPORTRANGE(""https://docs.google.com/spreadsheets/d/1IYY_tgx_IHuhSq3AJ5eI5OnqOPBNLWSHKh2a30DoXe8/edit?usp=sharing"",""ปัตตานี!I237"")"),0)</f>
        <v>0</v>
      </c>
      <c r="J342" s="194">
        <f ca="1">IFERROR(__xludf.DUMMYFUNCTION("IMPORTRANGE(""https://docs.google.com/spreadsheets/d/1IYY_tgx_IHuhSq3AJ5eI5OnqOPBNLWSHKh2a30DoXe8/edit?usp=sharing"",""ปัตตานี!J237"")"),1236.76)</f>
        <v>1236.76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IFERROR(__xludf.DUMMYFUNCTION("IMPORTRANGE(""https://docs.google.com/spreadsheets/d/1IYY_tgx_IHuhSq3AJ5eI5OnqOPBNLWSHKh2a30DoXe8/edit?usp=sharing"",""ปัตตานี!I238"")"),210)</f>
        <v>210</v>
      </c>
      <c r="J343" s="194">
        <f ca="1">IFERROR(__xludf.DUMMYFUNCTION("IMPORTRANGE(""https://docs.google.com/spreadsheets/d/1IYY_tgx_IHuhSq3AJ5eI5OnqOPBNLWSHKh2a30DoXe8/edit?usp=sharing"",""ปัตตานี!J238"")"),0)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IFERROR(__xludf.DUMMYFUNCTION("IMPORTRANGE(""https://docs.google.com/spreadsheets/d/1IYY_tgx_IHuhSq3AJ5eI5OnqOPBNLWSHKh2a30DoXe8/edit?usp=sharing"",""ปัตตานี!I239"")"),0)</f>
        <v>0</v>
      </c>
      <c r="J344" s="194">
        <f ca="1">IFERROR(__xludf.DUMMYFUNCTION("IMPORTRANGE(""https://docs.google.com/spreadsheets/d/1IYY_tgx_IHuhSq3AJ5eI5OnqOPBNLWSHKh2a30DoXe8/edit?usp=sharing"",""ปัตตานี!J239"")"),0)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IFERROR(__xludf.DUMMYFUNCTION("IMPORTRANGE(""https://docs.google.com/spreadsheets/d/1IYY_tgx_IHuhSq3AJ5eI5OnqOPBNLWSHKh2a30DoXe8/edit?usp=sharing"",""ปัตตานี!I240"")"),210)</f>
        <v>210</v>
      </c>
      <c r="J345" s="194">
        <f ca="1">IFERROR(__xludf.DUMMYFUNCTION("IMPORTRANGE(""https://docs.google.com/spreadsheets/d/1IYY_tgx_IHuhSq3AJ5eI5OnqOPBNLWSHKh2a30DoXe8/edit?usp=sharing"",""ปัตตานี!J240"")"),268)</f>
        <v>268</v>
      </c>
      <c r="K345" s="348">
        <f t="shared" ca="1" si="103"/>
        <v>127.61904761904762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IFERROR(__xludf.DUMMYFUNCTION("IMPORTRANGE(""https://docs.google.com/spreadsheets/d/1IYY_tgx_IHuhSq3AJ5eI5OnqOPBNLWSHKh2a30DoXe8/edit?usp=sharing"",""ปัตตานี!I241"")"),0)</f>
        <v>0</v>
      </c>
      <c r="J346" s="194">
        <f ca="1">IFERROR(__xludf.DUMMYFUNCTION("IMPORTRANGE(""https://docs.google.com/spreadsheets/d/1IYY_tgx_IHuhSq3AJ5eI5OnqOPBNLWSHKh2a30DoXe8/edit?usp=sharing"",""ปัตตานี!J241"")"),1179.15)</f>
        <v>1179.1500000000001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IFERROR(__xludf.DUMMYFUNCTION("IMPORTRANGE(""https://docs.google.com/spreadsheets/d/1IYY_tgx_IHuhSq3AJ5eI5OnqOPBNLWSHKh2a30DoXe8/edit?usp=sharing"",""ปัตตานี!L242"")"),765766)</f>
        <v>765766</v>
      </c>
      <c r="M347" s="364"/>
      <c r="N347" s="364">
        <f ca="1">IFERROR(__xludf.DUMMYFUNCTION("IMPORTRANGE(""https://docs.google.com/spreadsheets/d/1IYY_tgx_IHuhSq3AJ5eI5OnqOPBNLWSHKh2a30DoXe8/edit?usp=sharing"",""ปัตตานี!M242"")"),714946.809999999)</f>
        <v>714946.80999999901</v>
      </c>
      <c r="O347" s="364">
        <f ca="1">+IF(L347&gt;0,N347*100/L347,0)</f>
        <v>93.363613688776852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IFERROR(__xludf.DUMMYFUNCTION("IMPORTRANGE(""https://docs.google.com/spreadsheets/d/1IYY_tgx_IHuhSq3AJ5eI5OnqOPBNLWSHKh2a30DoXe8/edit?usp=sharing"",""ปัตตานี!I244"")"),20)</f>
        <v>20</v>
      </c>
      <c r="J349" s="377">
        <f ca="1">IFERROR(__xludf.DUMMYFUNCTION("IMPORTRANGE(""https://docs.google.com/spreadsheets/d/1IYY_tgx_IHuhSq3AJ5eI5OnqOPBNLWSHKh2a30DoXe8/edit?usp=sharing"",""ปัตตานี!J244"")"),20)</f>
        <v>20</v>
      </c>
      <c r="K349" s="378">
        <f t="shared" ref="K349:K350" ca="1" si="104">IF(I349&gt;0,J349*100/I349,0)</f>
        <v>100</v>
      </c>
      <c r="L349" s="379">
        <f ca="1">IFERROR(__xludf.DUMMYFUNCTION("IMPORTRANGE(""https://docs.google.com/spreadsheets/d/1IYY_tgx_IHuhSq3AJ5eI5OnqOPBNLWSHKh2a30DoXe8/edit?usp=sharing"",""ปัตตานี!L244"")"),215720)</f>
        <v>215720</v>
      </c>
      <c r="M349" s="379"/>
      <c r="N349" s="379">
        <f ca="1">IFERROR(__xludf.DUMMYFUNCTION("IMPORTRANGE(""https://docs.google.com/spreadsheets/d/1IYY_tgx_IHuhSq3AJ5eI5OnqOPBNLWSHKh2a30DoXe8/edit?usp=sharing"",""ปัตตานี!M244"")"),215720)</f>
        <v>215720</v>
      </c>
      <c r="O349" s="379">
        <f ca="1">+IF(L349&gt;0,N349*100/L349,0)</f>
        <v>100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IFERROR(__xludf.DUMMYFUNCTION("IMPORTRANGE(""https://docs.google.com/spreadsheets/d/1IYY_tgx_IHuhSq3AJ5eI5OnqOPBNLWSHKh2a30DoXe8/edit?usp=sharing"",""ปัตตานี!I245"")"),10)</f>
        <v>10</v>
      </c>
      <c r="J350" s="377">
        <f ca="1">IFERROR(__xludf.DUMMYFUNCTION("IMPORTRANGE(""https://docs.google.com/spreadsheets/d/1IYY_tgx_IHuhSq3AJ5eI5OnqOPBNLWSHKh2a30DoXe8/edit?usp=sharing"",""ปัตตานี!J245"")"),10)</f>
        <v>10</v>
      </c>
      <c r="K350" s="378">
        <f t="shared" ca="1" si="104"/>
        <v>100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IFERROR(__xludf.DUMMYFUNCTION("IMPORTRANGE(""https://docs.google.com/spreadsheets/d/1IYY_tgx_IHuhSq3AJ5eI5OnqOPBNLWSHKh2a30DoXe8/edit?usp=sharing"",""ปัตตานี!L246"")"),0)</f>
        <v>0</v>
      </c>
      <c r="M351" s="168"/>
      <c r="N351" s="168">
        <f ca="1">IFERROR(__xludf.DUMMYFUNCTION("IMPORTRANGE(""https://docs.google.com/spreadsheets/d/1IYY_tgx_IHuhSq3AJ5eI5OnqOPBNLWSHKh2a30DoXe8/edit?usp=sharing"",""ปัตตานี!M246"")"),0)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IFERROR(__xludf.DUMMYFUNCTION("IMPORTRANGE(""https://docs.google.com/spreadsheets/d/1IYY_tgx_IHuhSq3AJ5eI5OnqOPBNLWSHKh2a30DoXe8/edit?usp=sharing"",""ปัตตานี!L247"")"),215720)</f>
        <v>215720</v>
      </c>
      <c r="M352" s="169"/>
      <c r="N352" s="168">
        <f ca="1">IFERROR(__xludf.DUMMYFUNCTION("IMPORTRANGE(""https://docs.google.com/spreadsheets/d/1IYY_tgx_IHuhSq3AJ5eI5OnqOPBNLWSHKh2a30DoXe8/edit?usp=sharing"",""ปัตตานี!M247"")"),215720)</f>
        <v>215720</v>
      </c>
      <c r="O352" s="169">
        <f t="shared" ca="1" si="105"/>
        <v>100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IFERROR(__xludf.DUMMYFUNCTION("IMPORTRANGE(""https://docs.google.com/spreadsheets/d/1IYY_tgx_IHuhSq3AJ5eI5OnqOPBNLWSHKh2a30DoXe8/edit?usp=sharing"",""ปัตตานี!L248"")"),0)</f>
        <v>0</v>
      </c>
      <c r="M353" s="175"/>
      <c r="N353" s="175">
        <f ca="1">IFERROR(__xludf.DUMMYFUNCTION("IMPORTRANGE(""https://docs.google.com/spreadsheets/d/1IYY_tgx_IHuhSq3AJ5eI5OnqOPBNLWSHKh2a30DoXe8/edit?usp=sharing"",""ปัตตานี!M248"")"),0)</f>
        <v>0</v>
      </c>
      <c r="O353" s="175">
        <f t="shared" ca="1" si="105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IFERROR(__xludf.DUMMYFUNCTION("IMPORTRANGE(""https://docs.google.com/spreadsheets/d/1IYY_tgx_IHuhSq3AJ5eI5OnqOPBNLWSHKh2a30DoXe8/edit?usp=sharing"",""ปัตตานี!L249"")"),215720)</f>
        <v>215720</v>
      </c>
      <c r="M354" s="175"/>
      <c r="N354" s="172">
        <f ca="1">IFERROR(__xludf.DUMMYFUNCTION("IMPORTRANGE(""https://docs.google.com/spreadsheets/d/1IYY_tgx_IHuhSq3AJ5eI5OnqOPBNLWSHKh2a30DoXe8/edit?usp=sharing"",""ปัตตานี!M249"")"),215720)</f>
        <v>215720</v>
      </c>
      <c r="O354" s="175">
        <f t="shared" ca="1" si="105"/>
        <v>100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IFERROR(__xludf.DUMMYFUNCTION("IMPORTRANGE(""https://docs.google.com/spreadsheets/d/1IYY_tgx_IHuhSq3AJ5eI5OnqOPBNLWSHKh2a30DoXe8/edit?usp=sharing"",""ปัตตานี!M250"")"),16200)</f>
        <v>16200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IFERROR(__xludf.DUMMYFUNCTION("IMPORTRANGE(""https://docs.google.com/spreadsheets/d/1IYY_tgx_IHuhSq3AJ5eI5OnqOPBNLWSHKh2a30DoXe8/edit?usp=sharing"",""ปัตตานี!M251"")"),25000)</f>
        <v>25000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IFERROR(__xludf.DUMMYFUNCTION("IMPORTRANGE(""https://docs.google.com/spreadsheets/d/1IYY_tgx_IHuhSq3AJ5eI5OnqOPBNLWSHKh2a30DoXe8/edit?usp=sharing"",""ปัตตานี!M252"")"),156000)</f>
        <v>156000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IFERROR(__xludf.DUMMYFUNCTION("IMPORTRANGE(""https://docs.google.com/spreadsheets/d/1IYY_tgx_IHuhSq3AJ5eI5OnqOPBNLWSHKh2a30DoXe8/edit?usp=sharing"",""ปัตตานี!M253"")"),18520)</f>
        <v>18520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IFERROR(__xludf.DUMMYFUNCTION("IMPORTRANGE(""https://docs.google.com/spreadsheets/d/1IYY_tgx_IHuhSq3AJ5eI5OnqOPBNLWSHKh2a30DoXe8/edit?usp=sharing"",""ปัตตานี!J255"")"),0)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IFERROR(__xludf.DUMMYFUNCTION("IMPORTRANGE(""https://docs.google.com/spreadsheets/d/1IYY_tgx_IHuhSq3AJ5eI5OnqOPBNLWSHKh2a30DoXe8/edit?usp=sharing"",""ปัตตานี!J256"")"),1)</f>
        <v>1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IFERROR(__xludf.DUMMYFUNCTION("IMPORTRANGE(""https://docs.google.com/spreadsheets/d/1IYY_tgx_IHuhSq3AJ5eI5OnqOPBNLWSHKh2a30DoXe8/edit?usp=sharing"",""ปัตตานี!J257"")"),1)</f>
        <v>1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IFERROR(__xludf.DUMMYFUNCTION("IMPORTRANGE(""https://docs.google.com/spreadsheets/d/1IYY_tgx_IHuhSq3AJ5eI5OnqOPBNLWSHKh2a30DoXe8/edit?usp=sharing"",""ปัตตานี!J258"")"),1)</f>
        <v>1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IFERROR(__xludf.DUMMYFUNCTION("IMPORTRANGE(""https://docs.google.com/spreadsheets/d/1IYY_tgx_IHuhSq3AJ5eI5OnqOPBNLWSHKh2a30DoXe8/edit?usp=sharing"",""ปัตตานี!J166"")"),0)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IFERROR(__xludf.DUMMYFUNCTION("IMPORTRANGE(""https://docs.google.com/spreadsheets/d/1IYY_tgx_IHuhSq3AJ5eI5OnqOPBNLWSHKh2a30DoXe8/edit?usp=sharing"",""ปัตตานี!J166"")"),0)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IFERROR(__xludf.DUMMYFUNCTION("IMPORTRANGE(""https://docs.google.com/spreadsheets/d/1IYY_tgx_IHuhSq3AJ5eI5OnqOPBNLWSHKh2a30DoXe8/edit?usp=sharing"",""ปัตตานี!J166"")"),0)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IFERROR(__xludf.DUMMYFUNCTION("IMPORTRANGE(""https://docs.google.com/spreadsheets/d/1IYY_tgx_IHuhSq3AJ5eI5OnqOPBNLWSHKh2a30DoXe8/edit?usp=sharing"",""ปัตตานี!J166"")"),0)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IFERROR(__xludf.DUMMYFUNCTION("IMPORTRANGE(""https://docs.google.com/spreadsheets/d/1IYY_tgx_IHuhSq3AJ5eI5OnqOPBNLWSHKh2a30DoXe8/edit?usp=sharing"",""ปัตตานี!I263"")"),10)</f>
        <v>10</v>
      </c>
      <c r="J368" s="194">
        <f ca="1">IFERROR(__xludf.DUMMYFUNCTION("IMPORTRANGE(""https://docs.google.com/spreadsheets/d/1IYY_tgx_IHuhSq3AJ5eI5OnqOPBNLWSHKh2a30DoXe8/edit?usp=sharing"",""ปัตตานี!J263"")"),10)</f>
        <v>10</v>
      </c>
      <c r="K368" s="167">
        <f t="shared" ca="1" si="106"/>
        <v>100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IFERROR(__xludf.DUMMYFUNCTION("IMPORTRANGE(""https://docs.google.com/spreadsheets/d/1IYY_tgx_IHuhSq3AJ5eI5OnqOPBNLWSHKh2a30DoXe8/edit?usp=sharing"",""ปัตตานี!I164"")"),0)</f>
        <v>0</v>
      </c>
      <c r="J369" s="210">
        <f ca="1">IFERROR(__xludf.DUMMYFUNCTION("IMPORTRANGE(""https://docs.google.com/spreadsheets/d/1IYY_tgx_IHuhSq3AJ5eI5OnqOPBNLWSHKh2a30DoXe8/edit?usp=sharing"",""ปัตตานี!J164"")"),0)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IFERROR(__xludf.DUMMYFUNCTION("IMPORTRANGE(""https://docs.google.com/spreadsheets/d/1IYY_tgx_IHuhSq3AJ5eI5OnqOPBNLWSHKh2a30DoXe8/edit?usp=sharing"",""ปัตตานี!I265"")"),10)</f>
        <v>10</v>
      </c>
      <c r="J370" s="210">
        <f ca="1">IFERROR(__xludf.DUMMYFUNCTION("IMPORTRANGE(""https://docs.google.com/spreadsheets/d/1IYY_tgx_IHuhSq3AJ5eI5OnqOPBNLWSHKh2a30DoXe8/edit?usp=sharing"",""ปัตตานี!J265"")"),0)</f>
        <v>0</v>
      </c>
      <c r="K370" s="167">
        <f t="shared" ca="1" si="106"/>
        <v>0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IFERROR(__xludf.DUMMYFUNCTION("IMPORTRANGE(""https://docs.google.com/spreadsheets/d/1IYY_tgx_IHuhSq3AJ5eI5OnqOPBNLWSHKh2a30DoXe8/edit?usp=sharing"",""ปัตตานี!I164"")"),0)</f>
        <v>0</v>
      </c>
      <c r="J371" s="195">
        <f ca="1">IFERROR(__xludf.DUMMYFUNCTION("IMPORTRANGE(""https://docs.google.com/spreadsheets/d/1IYY_tgx_IHuhSq3AJ5eI5OnqOPBNLWSHKh2a30DoXe8/edit?usp=sharing"",""ปัตตานี!J164"")"),0)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IFERROR(__xludf.DUMMYFUNCTION("IMPORTRANGE(""https://docs.google.com/spreadsheets/d/1IYY_tgx_IHuhSq3AJ5eI5OnqOPBNLWSHKh2a30DoXe8/edit?usp=sharing"",""ปัตตานี!I267"")"),10)</f>
        <v>10</v>
      </c>
      <c r="J372" s="195">
        <f ca="1">IFERROR(__xludf.DUMMYFUNCTION("IMPORTRANGE(""https://docs.google.com/spreadsheets/d/1IYY_tgx_IHuhSq3AJ5eI5OnqOPBNLWSHKh2a30DoXe8/edit?usp=sharing"",""ปัตตานี!J267"")"),10)</f>
        <v>10</v>
      </c>
      <c r="K372" s="167">
        <f t="shared" ca="1" si="106"/>
        <v>100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IFERROR(__xludf.DUMMYFUNCTION("IMPORTRANGE(""https://docs.google.com/spreadsheets/d/1IYY_tgx_IHuhSq3AJ5eI5OnqOPBNLWSHKh2a30DoXe8/edit?usp=sharing"",""ปัตตานี!I164"")"),0)</f>
        <v>0</v>
      </c>
      <c r="J373" s="210">
        <f ca="1">IFERROR(__xludf.DUMMYFUNCTION("IMPORTRANGE(""https://docs.google.com/spreadsheets/d/1IYY_tgx_IHuhSq3AJ5eI5OnqOPBNLWSHKh2a30DoXe8/edit?usp=sharing"",""ปัตตานี!J164"")"),0)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IFERROR(__xludf.DUMMYFUNCTION("IMPORTRANGE(""https://docs.google.com/spreadsheets/d/1IYY_tgx_IHuhSq3AJ5eI5OnqOPBNLWSHKh2a30DoXe8/edit?usp=sharing"",""ปัตตานี!I164"")"),0)</f>
        <v>0</v>
      </c>
      <c r="J374" s="194">
        <f ca="1">IFERROR(__xludf.DUMMYFUNCTION("IMPORTRANGE(""https://docs.google.com/spreadsheets/d/1IYY_tgx_IHuhSq3AJ5eI5OnqOPBNLWSHKh2a30DoXe8/edit?usp=sharing"",""ปัตตานี!J164"")"),0)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IFERROR(__xludf.DUMMYFUNCTION("IMPORTRANGE(""https://docs.google.com/spreadsheets/d/1IYY_tgx_IHuhSq3AJ5eI5OnqOPBNLWSHKh2a30DoXe8/edit?usp=sharing"",""ปัตตานี!I270"")"),20)</f>
        <v>20</v>
      </c>
      <c r="J375" s="194">
        <f ca="1">IFERROR(__xludf.DUMMYFUNCTION("IMPORTRANGE(""https://docs.google.com/spreadsheets/d/1IYY_tgx_IHuhSq3AJ5eI5OnqOPBNLWSHKh2a30DoXe8/edit?usp=sharing"",""ปัตตานี!J270"")"),20)</f>
        <v>20</v>
      </c>
      <c r="K375" s="167">
        <f t="shared" ref="K375:K377" ca="1" si="107">IF(I375&gt;0,J375*100/I375,0)</f>
        <v>100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IFERROR(__xludf.DUMMYFUNCTION("IMPORTRANGE(""https://docs.google.com/spreadsheets/d/1IYY_tgx_IHuhSq3AJ5eI5OnqOPBNLWSHKh2a30DoXe8/edit?usp=sharing"",""ปัตตานี!I271"")"),20)</f>
        <v>20</v>
      </c>
      <c r="J376" s="195">
        <f ca="1">IFERROR(__xludf.DUMMYFUNCTION("IMPORTRANGE(""https://docs.google.com/spreadsheets/d/1IYY_tgx_IHuhSq3AJ5eI5OnqOPBNLWSHKh2a30DoXe8/edit?usp=sharing"",""ปัตตานี!J271"")"),20)</f>
        <v>20</v>
      </c>
      <c r="K376" s="167">
        <f t="shared" ca="1" si="107"/>
        <v>100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IFERROR(__xludf.DUMMYFUNCTION("IMPORTRANGE(""https://docs.google.com/spreadsheets/d/1IYY_tgx_IHuhSq3AJ5eI5OnqOPBNLWSHKh2a30DoXe8/edit?usp=sharing"",""ปัตตานี!I272"")"),0)</f>
        <v>0</v>
      </c>
      <c r="J377" s="210">
        <f ca="1">IFERROR(__xludf.DUMMYFUNCTION("IMPORTRANGE(""https://docs.google.com/spreadsheets/d/1IYY_tgx_IHuhSq3AJ5eI5OnqOPBNLWSHKh2a30DoXe8/edit?usp=sharing"",""ปัตตานี!J272"")"),0)</f>
        <v>0</v>
      </c>
      <c r="K377" s="167">
        <f t="shared" ca="1" si="107"/>
        <v>0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IFERROR(__xludf.DUMMYFUNCTION("IMPORTRANGE(""https://docs.google.com/spreadsheets/d/1IYY_tgx_IHuhSq3AJ5eI5OnqOPBNLWSHKh2a30DoXe8/edit?usp=sharing"",""ปัตตานี!J273"")"),1)</f>
        <v>1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IFERROR(__xludf.DUMMYFUNCTION("IMPORTRANGE(""https://docs.google.com/spreadsheets/d/1IYY_tgx_IHuhSq3AJ5eI5OnqOPBNLWSHKh2a30DoXe8/edit?usp=sharing"",""ปัตตานี!J274"")"),1)</f>
        <v>1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IFERROR(__xludf.DUMMYFUNCTION("IMPORTRANGE(""https://docs.google.com/spreadsheets/d/1IYY_tgx_IHuhSq3AJ5eI5OnqOPBNLWSHKh2a30DoXe8/edit?usp=sharing"",""ปัตตานี!I275"")"),50)</f>
        <v>50</v>
      </c>
      <c r="J380" s="377">
        <f ca="1">IFERROR(__xludf.DUMMYFUNCTION("IMPORTRANGE(""https://docs.google.com/spreadsheets/d/1IYY_tgx_IHuhSq3AJ5eI5OnqOPBNLWSHKh2a30DoXe8/edit?usp=sharing"",""ปัตตานี!J275"")"),50)</f>
        <v>50</v>
      </c>
      <c r="K380" s="378">
        <f t="shared" ref="K380:K381" ca="1" si="108">IF(I380&gt;0,J380*100/I380,0)</f>
        <v>100</v>
      </c>
      <c r="L380" s="379">
        <f ca="1">IFERROR(__xludf.DUMMYFUNCTION("IMPORTRANGE(""https://docs.google.com/spreadsheets/d/1IYY_tgx_IHuhSq3AJ5eI5OnqOPBNLWSHKh2a30DoXe8/edit?usp=sharing"",""ปัตตานี!L275"")"),87710)</f>
        <v>87710</v>
      </c>
      <c r="M380" s="379"/>
      <c r="N380" s="379">
        <f ca="1">IFERROR(__xludf.DUMMYFUNCTION("IMPORTRANGE(""https://docs.google.com/spreadsheets/d/1IYY_tgx_IHuhSq3AJ5eI5OnqOPBNLWSHKh2a30DoXe8/edit?usp=sharing"",""ปัตตานี!M275"")"),87710)</f>
        <v>87710</v>
      </c>
      <c r="O380" s="379">
        <f ca="1">+IF(L380&gt;0,N380*100/L380,0)</f>
        <v>100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IFERROR(__xludf.DUMMYFUNCTION("IMPORTRANGE(""https://docs.google.com/spreadsheets/d/1IYY_tgx_IHuhSq3AJ5eI5OnqOPBNLWSHKh2a30DoXe8/edit?usp=sharing"",""ปัตตานี!I276"")"),5)</f>
        <v>5</v>
      </c>
      <c r="J381" s="377">
        <f ca="1">IFERROR(__xludf.DUMMYFUNCTION("IMPORTRANGE(""https://docs.google.com/spreadsheets/d/1IYY_tgx_IHuhSq3AJ5eI5OnqOPBNLWSHKh2a30DoXe8/edit?usp=sharing"",""ปัตตานี!J276"")"),5)</f>
        <v>5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IFERROR(__xludf.DUMMYFUNCTION("IMPORTRANGE(""https://docs.google.com/spreadsheets/d/1IYY_tgx_IHuhSq3AJ5eI5OnqOPBNLWSHKh2a30DoXe8/edit?usp=sharing"",""ปัตตานี!L277"")"),0)</f>
        <v>0</v>
      </c>
      <c r="M382" s="168"/>
      <c r="N382" s="168">
        <f ca="1">IFERROR(__xludf.DUMMYFUNCTION("IMPORTRANGE(""https://docs.google.com/spreadsheets/d/1IYY_tgx_IHuhSq3AJ5eI5OnqOPBNLWSHKh2a30DoXe8/edit?usp=sharing"",""ปัตตานี!M277"")"),0)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IFERROR(__xludf.DUMMYFUNCTION("IMPORTRANGE(""https://docs.google.com/spreadsheets/d/1IYY_tgx_IHuhSq3AJ5eI5OnqOPBNLWSHKh2a30DoXe8/edit?usp=sharing"",""ปัตตานี!L278"")"),87710)</f>
        <v>87710</v>
      </c>
      <c r="M383" s="169"/>
      <c r="N383" s="169">
        <f ca="1">IFERROR(__xludf.DUMMYFUNCTION("IMPORTRANGE(""https://docs.google.com/spreadsheets/d/1IYY_tgx_IHuhSq3AJ5eI5OnqOPBNLWSHKh2a30DoXe8/edit?usp=sharing"",""ปัตตานี!M278"")"),87710)</f>
        <v>87710</v>
      </c>
      <c r="O383" s="169">
        <f t="shared" ca="1" si="109"/>
        <v>100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IFERROR(__xludf.DUMMYFUNCTION("IMPORTRANGE(""https://docs.google.com/spreadsheets/d/1IYY_tgx_IHuhSq3AJ5eI5OnqOPBNLWSHKh2a30DoXe8/edit?usp=sharing"",""ปัตตานี!L279"")"),0)</f>
        <v>0</v>
      </c>
      <c r="M384" s="175"/>
      <c r="N384" s="175">
        <f ca="1">IFERROR(__xludf.DUMMYFUNCTION("IMPORTRANGE(""https://docs.google.com/spreadsheets/d/1IYY_tgx_IHuhSq3AJ5eI5OnqOPBNLWSHKh2a30DoXe8/edit?usp=sharing"",""ปัตตานี!M279"")"),0)</f>
        <v>0</v>
      </c>
      <c r="O384" s="175">
        <f t="shared" ca="1" si="109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IFERROR(__xludf.DUMMYFUNCTION("IMPORTRANGE(""https://docs.google.com/spreadsheets/d/1IYY_tgx_IHuhSq3AJ5eI5OnqOPBNLWSHKh2a30DoXe8/edit?usp=sharing"",""ปัตตานี!L280"")"),87710)</f>
        <v>87710</v>
      </c>
      <c r="M385" s="175"/>
      <c r="N385" s="172">
        <f ca="1">IFERROR(__xludf.DUMMYFUNCTION("IMPORTRANGE(""https://docs.google.com/spreadsheets/d/1IYY_tgx_IHuhSq3AJ5eI5OnqOPBNLWSHKh2a30DoXe8/edit?usp=sharing"",""ปัตตานี!M280"")"),87710)</f>
        <v>87710</v>
      </c>
      <c r="O385" s="175">
        <f t="shared" ca="1" si="109"/>
        <v>100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IFERROR(__xludf.DUMMYFUNCTION("IMPORTRANGE(""https://docs.google.com/spreadsheets/d/1IYY_tgx_IHuhSq3AJ5eI5OnqOPBNLWSHKh2a30DoXe8/edit?usp=sharing"",""ปัตตานี!M281"")"),32700)</f>
        <v>32700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IFERROR(__xludf.DUMMYFUNCTION("IMPORTRANGE(""https://docs.google.com/spreadsheets/d/1IYY_tgx_IHuhSq3AJ5eI5OnqOPBNLWSHKh2a30DoXe8/edit?usp=sharing"",""ปัตตานี!M282"")"),31250)</f>
        <v>31250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IFERROR(__xludf.DUMMYFUNCTION("IMPORTRANGE(""https://docs.google.com/spreadsheets/d/1IYY_tgx_IHuhSq3AJ5eI5OnqOPBNLWSHKh2a30DoXe8/edit?usp=sharing"",""ปัตตานี!M283"")"),0)</f>
        <v>0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IFERROR(__xludf.DUMMYFUNCTION("IMPORTRANGE(""https://docs.google.com/spreadsheets/d/1IYY_tgx_IHuhSq3AJ5eI5OnqOPBNLWSHKh2a30DoXe8/edit?usp=sharing"",""ปัตตานี!M284"")"),23760)</f>
        <v>23760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IFERROR(__xludf.DUMMYFUNCTION("IMPORTRANGE(""https://docs.google.com/spreadsheets/d/1IYY_tgx_IHuhSq3AJ5eI5OnqOPBNLWSHKh2a30DoXe8/edit?usp=sharing"",""ปัตตานี!J286"")"),0)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IFERROR(__xludf.DUMMYFUNCTION("IMPORTRANGE(""https://docs.google.com/spreadsheets/d/1IYY_tgx_IHuhSq3AJ5eI5OnqOPBNLWSHKh2a30DoXe8/edit?usp=sharing"",""ปัตตานี!J287"")"),1)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IFERROR(__xludf.DUMMYFUNCTION("IMPORTRANGE(""https://docs.google.com/spreadsheets/d/1IYY_tgx_IHuhSq3AJ5eI5OnqOPBNLWSHKh2a30DoXe8/edit?usp=sharing"",""ปัตตานี!J288"")"),1)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IFERROR(__xludf.DUMMYFUNCTION("IMPORTRANGE(""https://docs.google.com/spreadsheets/d/1IYY_tgx_IHuhSq3AJ5eI5OnqOPBNLWSHKh2a30DoXe8/edit?usp=sharing"",""ปัตตานี!J289"")"),1)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IFERROR(__xludf.DUMMYFUNCTION("IMPORTRANGE(""https://docs.google.com/spreadsheets/d/1IYY_tgx_IHuhSq3AJ5eI5OnqOPBNLWSHKh2a30DoXe8/edit?usp=sharing"",""ปัตตานี!I291"")"),5)</f>
        <v>5</v>
      </c>
      <c r="J396" s="204">
        <f ca="1">IFERROR(__xludf.DUMMYFUNCTION("IMPORTRANGE(""https://docs.google.com/spreadsheets/d/1IYY_tgx_IHuhSq3AJ5eI5OnqOPBNLWSHKh2a30DoXe8/edit?usp=sharing"",""ปัตตานี!J291"")"),5)</f>
        <v>5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IFERROR(__xludf.DUMMYFUNCTION("IMPORTRANGE(""https://docs.google.com/spreadsheets/d/1IYY_tgx_IHuhSq3AJ5eI5OnqOPBNLWSHKh2a30DoXe8/edit?usp=sharing"",""ปัตตานี!I292"")"),50)</f>
        <v>50</v>
      </c>
      <c r="J397" s="204">
        <f ca="1">IFERROR(__xludf.DUMMYFUNCTION("IMPORTRANGE(""https://docs.google.com/spreadsheets/d/1IYY_tgx_IHuhSq3AJ5eI5OnqOPBNLWSHKh2a30DoXe8/edit?usp=sharing"",""ปัตตานี!J292"")"),50)</f>
        <v>50</v>
      </c>
      <c r="K397" s="167">
        <f t="shared" ca="1" si="110"/>
        <v>100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IFERROR(__xludf.DUMMYFUNCTION("IMPORTRANGE(""https://docs.google.com/spreadsheets/d/1IYY_tgx_IHuhSq3AJ5eI5OnqOPBNLWSHKh2a30DoXe8/edit?usp=sharing"",""ปัตตานี!I293"")"),5)</f>
        <v>5</v>
      </c>
      <c r="J398" s="204">
        <f ca="1">IFERROR(__xludf.DUMMYFUNCTION("IMPORTRANGE(""https://docs.google.com/spreadsheets/d/1IYY_tgx_IHuhSq3AJ5eI5OnqOPBNLWSHKh2a30DoXe8/edit?usp=sharing"",""ปัตตานี!J293"")"),5)</f>
        <v>5</v>
      </c>
      <c r="K398" s="167">
        <f t="shared" ca="1" si="110"/>
        <v>100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IFERROR(__xludf.DUMMYFUNCTION("IMPORTRANGE(""https://docs.google.com/spreadsheets/d/1IYY_tgx_IHuhSq3AJ5eI5OnqOPBNLWSHKh2a30DoXe8/edit?usp=sharing"",""ปัตตานี!J294"")"),1)</f>
        <v>1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IFERROR(__xludf.DUMMYFUNCTION("IMPORTRANGE(""https://docs.google.com/spreadsheets/d/1IYY_tgx_IHuhSq3AJ5eI5OnqOPBNLWSHKh2a30DoXe8/edit?usp=sharing"",""ปัตตานี!J295"")"),1)</f>
        <v>1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IFERROR(__xludf.DUMMYFUNCTION("IMPORTRANGE(""https://docs.google.com/spreadsheets/d/1IYY_tgx_IHuhSq3AJ5eI5OnqOPBNLWSHKh2a30DoXe8/edit?usp=sharing"",""ปัตตานี!I296"")"),105)</f>
        <v>105</v>
      </c>
      <c r="J401" s="377">
        <f ca="1">IFERROR(__xludf.DUMMYFUNCTION("IMPORTRANGE(""https://docs.google.com/spreadsheets/d/1IYY_tgx_IHuhSq3AJ5eI5OnqOPBNLWSHKh2a30DoXe8/edit?usp=sharing"",""ปัตตานี!J296"")"),105)</f>
        <v>105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IFERROR(__xludf.DUMMYFUNCTION("IMPORTRANGE(""https://docs.google.com/spreadsheets/d/1IYY_tgx_IHuhSq3AJ5eI5OnqOPBNLWSHKh2a30DoXe8/edit?usp=sharing"",""ปัตตานี!L296"")"),131710)</f>
        <v>131710</v>
      </c>
      <c r="M401" s="379"/>
      <c r="N401" s="379">
        <f ca="1">IFERROR(__xludf.DUMMYFUNCTION("IMPORTRANGE(""https://docs.google.com/spreadsheets/d/1IYY_tgx_IHuhSq3AJ5eI5OnqOPBNLWSHKh2a30DoXe8/edit?usp=sharing"",""ปัตตานี!M296"")"),131710)</f>
        <v>131710</v>
      </c>
      <c r="O401" s="379">
        <f ca="1">+IF(L401&gt;0,N401*100/L401,0)</f>
        <v>100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IFERROR(__xludf.DUMMYFUNCTION("IMPORTRANGE(""https://docs.google.com/spreadsheets/d/1IYY_tgx_IHuhSq3AJ5eI5OnqOPBNLWSHKh2a30DoXe8/edit?usp=sharing"",""ปัตตานี!I297"")"),35)</f>
        <v>35</v>
      </c>
      <c r="J402" s="377">
        <f ca="1">IFERROR(__xludf.DUMMYFUNCTION("IMPORTRANGE(""https://docs.google.com/spreadsheets/d/1IYY_tgx_IHuhSq3AJ5eI5OnqOPBNLWSHKh2a30DoXe8/edit?usp=sharing"",""ปัตตานี!J297"")"),35)</f>
        <v>35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IFERROR(__xludf.DUMMYFUNCTION("IMPORTRANGE(""https://docs.google.com/spreadsheets/d/1IYY_tgx_IHuhSq3AJ5eI5OnqOPBNLWSHKh2a30DoXe8/edit?usp=sharing"",""ปัตตานี!L298"")"),0)</f>
        <v>0</v>
      </c>
      <c r="M403" s="168"/>
      <c r="N403" s="175">
        <f ca="1">IFERROR(__xludf.DUMMYFUNCTION("IMPORTRANGE(""https://docs.google.com/spreadsheets/d/1IYY_tgx_IHuhSq3AJ5eI5OnqOPBNLWSHKh2a30DoXe8/edit?usp=sharing"",""ปัตตานี!M298"")"),0)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IFERROR(__xludf.DUMMYFUNCTION("IMPORTRANGE(""https://docs.google.com/spreadsheets/d/1IYY_tgx_IHuhSq3AJ5eI5OnqOPBNLWSHKh2a30DoXe8/edit?usp=sharing"",""ปัตตานี!L299"")"),131710)</f>
        <v>131710</v>
      </c>
      <c r="M404" s="169"/>
      <c r="N404" s="175">
        <f ca="1">IFERROR(__xludf.DUMMYFUNCTION("IMPORTRANGE(""https://docs.google.com/spreadsheets/d/1IYY_tgx_IHuhSq3AJ5eI5OnqOPBNLWSHKh2a30DoXe8/edit?usp=sharing"",""ปัตตานี!M299"")"),131710)</f>
        <v>131710</v>
      </c>
      <c r="O404" s="175">
        <f t="shared" ca="1" si="112"/>
        <v>100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IFERROR(__xludf.DUMMYFUNCTION("IMPORTRANGE(""https://docs.google.com/spreadsheets/d/1IYY_tgx_IHuhSq3AJ5eI5OnqOPBNLWSHKh2a30DoXe8/edit?usp=sharing"",""ปัตตานี!L300"")"),0)</f>
        <v>0</v>
      </c>
      <c r="M405" s="175"/>
      <c r="N405" s="175">
        <f ca="1">IFERROR(__xludf.DUMMYFUNCTION("IMPORTRANGE(""https://docs.google.com/spreadsheets/d/1IYY_tgx_IHuhSq3AJ5eI5OnqOPBNLWSHKh2a30DoXe8/edit?usp=sharing"",""ปัตตานี!M300"")"),0)</f>
        <v>0</v>
      </c>
      <c r="O405" s="175">
        <f t="shared" ca="1" si="112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IFERROR(__xludf.DUMMYFUNCTION("IMPORTRANGE(""https://docs.google.com/spreadsheets/d/1IYY_tgx_IHuhSq3AJ5eI5OnqOPBNLWSHKh2a30DoXe8/edit?usp=sharing"",""ปัตตานี!L301"")"),131710)</f>
        <v>131710</v>
      </c>
      <c r="M406" s="175"/>
      <c r="N406" s="175">
        <f ca="1">IFERROR(__xludf.DUMMYFUNCTION("IMPORTRANGE(""https://docs.google.com/spreadsheets/d/1IYY_tgx_IHuhSq3AJ5eI5OnqOPBNLWSHKh2a30DoXe8/edit?usp=sharing"",""ปัตตานี!M301"")"),131710)</f>
        <v>131710</v>
      </c>
      <c r="O406" s="175">
        <f t="shared" ca="1" si="112"/>
        <v>100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IFERROR(__xludf.DUMMYFUNCTION("IMPORTRANGE(""https://docs.google.com/spreadsheets/d/1IYY_tgx_IHuhSq3AJ5eI5OnqOPBNLWSHKh2a30DoXe8/edit?usp=sharing"",""ปัตตานี!M302"")"),78850)</f>
        <v>78850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IFERROR(__xludf.DUMMYFUNCTION("IMPORTRANGE(""https://docs.google.com/spreadsheets/d/1IYY_tgx_IHuhSq3AJ5eI5OnqOPBNLWSHKh2a30DoXe8/edit?usp=sharing"",""ปัตตานี!M303"")"),25500)</f>
        <v>25500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IFERROR(__xludf.DUMMYFUNCTION("IMPORTRANGE(""https://docs.google.com/spreadsheets/d/1IYY_tgx_IHuhSq3AJ5eI5OnqOPBNLWSHKh2a30DoXe8/edit?usp=sharing"",""ปัตตานี!M304"")"),0)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IFERROR(__xludf.DUMMYFUNCTION("IMPORTRANGE(""https://docs.google.com/spreadsheets/d/1IYY_tgx_IHuhSq3AJ5eI5OnqOPBNLWSHKh2a30DoXe8/edit?usp=sharing"",""ปัตตานี!M305"")"),27360)</f>
        <v>27360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IFERROR(__xludf.DUMMYFUNCTION("IMPORTRANGE(""https://docs.google.com/spreadsheets/d/1IYY_tgx_IHuhSq3AJ5eI5OnqOPBNLWSHKh2a30DoXe8/edit?usp=sharing"",""ปัตตานี!J307"")"),0)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IFERROR(__xludf.DUMMYFUNCTION("IMPORTRANGE(""https://docs.google.com/spreadsheets/d/1IYY_tgx_IHuhSq3AJ5eI5OnqOPBNLWSHKh2a30DoXe8/edit?usp=sharing"",""ปัตตานี!J308"")"),1)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IFERROR(__xludf.DUMMYFUNCTION("IMPORTRANGE(""https://docs.google.com/spreadsheets/d/1IYY_tgx_IHuhSq3AJ5eI5OnqOPBNLWSHKh2a30DoXe8/edit?usp=sharing"",""ปัตตานี!J309"")"),1)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IFERROR(__xludf.DUMMYFUNCTION("IMPORTRANGE(""https://docs.google.com/spreadsheets/d/1IYY_tgx_IHuhSq3AJ5eI5OnqOPBNLWSHKh2a30DoXe8/edit?usp=sharing"",""ปัตตานี!J310"")"),1)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IFERROR(__xludf.DUMMYFUNCTION("IMPORTRANGE(""https://docs.google.com/spreadsheets/d/1IYY_tgx_IHuhSq3AJ5eI5OnqOPBNLWSHKh2a30DoXe8/edit?usp=sharing"",""ปัตตานี!I311"")"),35)</f>
        <v>35</v>
      </c>
      <c r="J416" s="207">
        <f ca="1">IFERROR(__xludf.DUMMYFUNCTION("IMPORTRANGE(""https://docs.google.com/spreadsheets/d/1IYY_tgx_IHuhSq3AJ5eI5OnqOPBNLWSHKh2a30DoXe8/edit?usp=sharing"",""ปัตตานี!J311"")"),35)</f>
        <v>35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IFERROR(__xludf.DUMMYFUNCTION("IMPORTRANGE(""https://docs.google.com/spreadsheets/d/1IYY_tgx_IHuhSq3AJ5eI5OnqOPBNLWSHKh2a30DoXe8/edit?usp=sharing"",""ปัตตานี!I312"")"),10)</f>
        <v>10</v>
      </c>
      <c r="J417" s="398">
        <f ca="1">IFERROR(__xludf.DUMMYFUNCTION("IMPORTRANGE(""https://docs.google.com/spreadsheets/d/1IYY_tgx_IHuhSq3AJ5eI5OnqOPBNLWSHKh2a30DoXe8/edit?usp=sharing"",""ปัตตานี!J312"")"),10)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IFERROR(__xludf.DUMMYFUNCTION("IMPORTRANGE(""https://docs.google.com/spreadsheets/d/1IYY_tgx_IHuhSq3AJ5eI5OnqOPBNLWSHKh2a30DoXe8/edit?usp=sharing"",""ปัตตานี!I313"")"),30)</f>
        <v>30</v>
      </c>
      <c r="J418" s="399">
        <f ca="1">IFERROR(__xludf.DUMMYFUNCTION("IMPORTRANGE(""https://docs.google.com/spreadsheets/d/1IYY_tgx_IHuhSq3AJ5eI5OnqOPBNLWSHKh2a30DoXe8/edit?usp=sharing"",""ปัตตานี!J313"")"),30)</f>
        <v>30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IFERROR(__xludf.DUMMYFUNCTION("IMPORTRANGE(""https://docs.google.com/spreadsheets/d/1IYY_tgx_IHuhSq3AJ5eI5OnqOPBNLWSHKh2a30DoXe8/edit?usp=sharing"",""ปัตตานี!I314"")"),10)</f>
        <v>10</v>
      </c>
      <c r="J419" s="400">
        <f ca="1">IFERROR(__xludf.DUMMYFUNCTION("IMPORTRANGE(""https://docs.google.com/spreadsheets/d/1IYY_tgx_IHuhSq3AJ5eI5OnqOPBNLWSHKh2a30DoXe8/edit?usp=sharing"",""ปัตตานี!J314"")"),10)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IFERROR(__xludf.DUMMYFUNCTION("IMPORTRANGE(""https://docs.google.com/spreadsheets/d/1IYY_tgx_IHuhSq3AJ5eI5OnqOPBNLWSHKh2a30DoXe8/edit?usp=sharing"",""ปัตตานี!I315"")"),10)</f>
        <v>10</v>
      </c>
      <c r="J420" s="400">
        <f ca="1">IFERROR(__xludf.DUMMYFUNCTION("IMPORTRANGE(""https://docs.google.com/spreadsheets/d/1IYY_tgx_IHuhSq3AJ5eI5OnqOPBNLWSHKh2a30DoXe8/edit?usp=sharing"",""ปัตตานี!J315"")"),10)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IFERROR(__xludf.DUMMYFUNCTION("IMPORTRANGE(""https://docs.google.com/spreadsheets/d/1IYY_tgx_IHuhSq3AJ5eI5OnqOPBNLWSHKh2a30DoXe8/edit?usp=sharing"",""ปัตตานี!I316"")"),15)</f>
        <v>15</v>
      </c>
      <c r="J421" s="398">
        <f ca="1">IFERROR(__xludf.DUMMYFUNCTION("IMPORTRANGE(""https://docs.google.com/spreadsheets/d/1IYY_tgx_IHuhSq3AJ5eI5OnqOPBNLWSHKh2a30DoXe8/edit?usp=sharing"",""ปัตตานี!J316"")"),15)</f>
        <v>15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IFERROR(__xludf.DUMMYFUNCTION("IMPORTRANGE(""https://docs.google.com/spreadsheets/d/1IYY_tgx_IHuhSq3AJ5eI5OnqOPBNLWSHKh2a30DoXe8/edit?usp=sharing"",""ปัตตานี!I317"")"),45)</f>
        <v>45</v>
      </c>
      <c r="J422" s="399">
        <f ca="1">IFERROR(__xludf.DUMMYFUNCTION("IMPORTRANGE(""https://docs.google.com/spreadsheets/d/1IYY_tgx_IHuhSq3AJ5eI5OnqOPBNLWSHKh2a30DoXe8/edit?usp=sharing"",""ปัตตานี!J317"")"),45)</f>
        <v>45</v>
      </c>
      <c r="K422" s="208">
        <f t="shared" ca="1" si="113"/>
        <v>100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IFERROR(__xludf.DUMMYFUNCTION("IMPORTRANGE(""https://docs.google.com/spreadsheets/d/1IYY_tgx_IHuhSq3AJ5eI5OnqOPBNLWSHKh2a30DoXe8/edit?usp=sharing"",""ปัตตานี!I318"")"),15)</f>
        <v>15</v>
      </c>
      <c r="J423" s="400">
        <f ca="1">IFERROR(__xludf.DUMMYFUNCTION("IMPORTRANGE(""https://docs.google.com/spreadsheets/d/1IYY_tgx_IHuhSq3AJ5eI5OnqOPBNLWSHKh2a30DoXe8/edit?usp=sharing"",""ปัตตานี!J318"")"),15)</f>
        <v>15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IFERROR(__xludf.DUMMYFUNCTION("IMPORTRANGE(""https://docs.google.com/spreadsheets/d/1IYY_tgx_IHuhSq3AJ5eI5OnqOPBNLWSHKh2a30DoXe8/edit?usp=sharing"",""ปัตตานี!I319"")"),15)</f>
        <v>15</v>
      </c>
      <c r="J424" s="400">
        <f ca="1">IFERROR(__xludf.DUMMYFUNCTION("IMPORTRANGE(""https://docs.google.com/spreadsheets/d/1IYY_tgx_IHuhSq3AJ5eI5OnqOPBNLWSHKh2a30DoXe8/edit?usp=sharing"",""ปัตตานี!J319"")"),15)</f>
        <v>15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IFERROR(__xludf.DUMMYFUNCTION("IMPORTRANGE(""https://docs.google.com/spreadsheets/d/1IYY_tgx_IHuhSq3AJ5eI5OnqOPBNLWSHKh2a30DoXe8/edit?usp=sharing"",""ปัตตานี!I320"")"),15)</f>
        <v>15</v>
      </c>
      <c r="J425" s="400">
        <f ca="1">IFERROR(__xludf.DUMMYFUNCTION("IMPORTRANGE(""https://docs.google.com/spreadsheets/d/1IYY_tgx_IHuhSq3AJ5eI5OnqOPBNLWSHKh2a30DoXe8/edit?usp=sharing"",""ปัตตานี!J320"")"),15)</f>
        <v>15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IFERROR(__xludf.DUMMYFUNCTION("IMPORTRANGE(""https://docs.google.com/spreadsheets/d/1IYY_tgx_IHuhSq3AJ5eI5OnqOPBNLWSHKh2a30DoXe8/edit?usp=sharing"",""ปัตตานี!I321"")"),10)</f>
        <v>10</v>
      </c>
      <c r="J426" s="398">
        <f ca="1">IFERROR(__xludf.DUMMYFUNCTION("IMPORTRANGE(""https://docs.google.com/spreadsheets/d/1IYY_tgx_IHuhSq3AJ5eI5OnqOPBNLWSHKh2a30DoXe8/edit?usp=sharing"",""ปัตตานี!J321"")"),10)</f>
        <v>10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IFERROR(__xludf.DUMMYFUNCTION("IMPORTRANGE(""https://docs.google.com/spreadsheets/d/1IYY_tgx_IHuhSq3AJ5eI5OnqOPBNLWSHKh2a30DoXe8/edit?usp=sharing"",""ปัตตานี!I322"")"),30)</f>
        <v>30</v>
      </c>
      <c r="J427" s="399">
        <f ca="1">IFERROR(__xludf.DUMMYFUNCTION("IMPORTRANGE(""https://docs.google.com/spreadsheets/d/1IYY_tgx_IHuhSq3AJ5eI5OnqOPBNLWSHKh2a30DoXe8/edit?usp=sharing"",""ปัตตานี!J322"")"),30)</f>
        <v>30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IFERROR(__xludf.DUMMYFUNCTION("IMPORTRANGE(""https://docs.google.com/spreadsheets/d/1IYY_tgx_IHuhSq3AJ5eI5OnqOPBNLWSHKh2a30DoXe8/edit?usp=sharing"",""ปัตตานี!I323"")"),10)</f>
        <v>10</v>
      </c>
      <c r="J428" s="400">
        <f ca="1">IFERROR(__xludf.DUMMYFUNCTION("IMPORTRANGE(""https://docs.google.com/spreadsheets/d/1IYY_tgx_IHuhSq3AJ5eI5OnqOPBNLWSHKh2a30DoXe8/edit?usp=sharing"",""ปัตตานี!J323"")"),10)</f>
        <v>10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IFERROR(__xludf.DUMMYFUNCTION("IMPORTRANGE(""https://docs.google.com/spreadsheets/d/1IYY_tgx_IHuhSq3AJ5eI5OnqOPBNLWSHKh2a30DoXe8/edit?usp=sharing"",""ปัตตานี!I324"")"),10)</f>
        <v>10</v>
      </c>
      <c r="J429" s="400">
        <f ca="1">IFERROR(__xludf.DUMMYFUNCTION("IMPORTRANGE(""https://docs.google.com/spreadsheets/d/1IYY_tgx_IHuhSq3AJ5eI5OnqOPBNLWSHKh2a30DoXe8/edit?usp=sharing"",""ปัตตานี!J324"")"),10)</f>
        <v>10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IFERROR(__xludf.DUMMYFUNCTION("IMPORTRANGE(""https://docs.google.com/spreadsheets/d/1IYY_tgx_IHuhSq3AJ5eI5OnqOPBNLWSHKh2a30DoXe8/edit?usp=sharing"",""ปัตตานี!I325"")"),25)</f>
        <v>25</v>
      </c>
      <c r="J430" s="398">
        <f ca="1">IFERROR(__xludf.DUMMYFUNCTION("IMPORTRANGE(""https://docs.google.com/spreadsheets/d/1IYY_tgx_IHuhSq3AJ5eI5OnqOPBNLWSHKh2a30DoXe8/edit?usp=sharing"",""ปัตตานี!J325"")"),25)</f>
        <v>25</v>
      </c>
      <c r="K430" s="208">
        <f t="shared" ca="1" si="113"/>
        <v>100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IFERROR(__xludf.DUMMYFUNCTION("IMPORTRANGE(""https://docs.google.com/spreadsheets/d/1IYY_tgx_IHuhSq3AJ5eI5OnqOPBNLWSHKh2a30DoXe8/edit?usp=sharing"",""ปัตตานี!I326"")"),10)</f>
        <v>10</v>
      </c>
      <c r="J431" s="400">
        <f ca="1">IFERROR(__xludf.DUMMYFUNCTION("IMPORTRANGE(""https://docs.google.com/spreadsheets/d/1IYY_tgx_IHuhSq3AJ5eI5OnqOPBNLWSHKh2a30DoXe8/edit?usp=sharing"",""ปัตตานี!J326"")"),10)</f>
        <v>10</v>
      </c>
      <c r="K431" s="167">
        <f t="shared" ca="1" si="113"/>
        <v>100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IFERROR(__xludf.DUMMYFUNCTION("IMPORTRANGE(""https://docs.google.com/spreadsheets/d/1IYY_tgx_IHuhSq3AJ5eI5OnqOPBNLWSHKh2a30DoXe8/edit?usp=sharing"",""ปัตตานี!I327"")"),15)</f>
        <v>15</v>
      </c>
      <c r="J432" s="400">
        <f ca="1">IFERROR(__xludf.DUMMYFUNCTION("IMPORTRANGE(""https://docs.google.com/spreadsheets/d/1IYY_tgx_IHuhSq3AJ5eI5OnqOPBNLWSHKh2a30DoXe8/edit?usp=sharing"",""ปัตตานี!J327"")"),15)</f>
        <v>15</v>
      </c>
      <c r="K432" s="167">
        <f t="shared" ca="1" si="113"/>
        <v>100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IFERROR(__xludf.DUMMYFUNCTION("IMPORTRANGE(""https://docs.google.com/spreadsheets/d/1IYY_tgx_IHuhSq3AJ5eI5OnqOPBNLWSHKh2a30DoXe8/edit?usp=sharing"",""ปัตตานี!J328"")"),1)</f>
        <v>1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IFERROR(__xludf.DUMMYFUNCTION("IMPORTRANGE(""https://docs.google.com/spreadsheets/d/1IYY_tgx_IHuhSq3AJ5eI5OnqOPBNLWSHKh2a30DoXe8/edit?usp=sharing"",""ปัตตานี!J329"")"),1)</f>
        <v>1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IFERROR(__xludf.DUMMYFUNCTION("IMPORTRANGE(""https://docs.google.com/spreadsheets/d/1IYY_tgx_IHuhSq3AJ5eI5OnqOPBNLWSHKh2a30DoXe8/edit?usp=sharing"",""ปัตตานี!I330"")"),10)</f>
        <v>10</v>
      </c>
      <c r="J435" s="416">
        <f ca="1">IFERROR(__xludf.DUMMYFUNCTION("IMPORTRANGE(""https://docs.google.com/spreadsheets/d/1IYY_tgx_IHuhSq3AJ5eI5OnqOPBNLWSHKh2a30DoXe8/edit?usp=sharing"",""ปัตตานี!J330"")"),10)</f>
        <v>10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IFERROR(__xludf.DUMMYFUNCTION("IMPORTRANGE(""https://docs.google.com/spreadsheets/d/1IYY_tgx_IHuhSq3AJ5eI5OnqOPBNLWSHKh2a30DoXe8/edit?usp=sharing"",""ปัตตานี!L330"")"),76000)</f>
        <v>76000</v>
      </c>
      <c r="M435" s="418"/>
      <c r="N435" s="418">
        <f ca="1">IFERROR(__xludf.DUMMYFUNCTION("IMPORTRANGE(""https://docs.google.com/spreadsheets/d/1IYY_tgx_IHuhSq3AJ5eI5OnqOPBNLWSHKh2a30DoXe8/edit?usp=sharing"",""ปัตตานี!M330"")"),52076.13)</f>
        <v>52076.13</v>
      </c>
      <c r="O435" s="418">
        <f t="shared" ref="O435:O439" ca="1" si="114">+IF(L435&gt;0,N435*100/L435,0)</f>
        <v>68.521223684210526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IFERROR(__xludf.DUMMYFUNCTION("IMPORTRANGE(""https://docs.google.com/spreadsheets/d/1IYY_tgx_IHuhSq3AJ5eI5OnqOPBNLWSHKh2a30DoXe8/edit?usp=sharing"",""ปัตตานี!L331"")"),0)</f>
        <v>0</v>
      </c>
      <c r="M436" s="168"/>
      <c r="N436" s="175">
        <f ca="1">IFERROR(__xludf.DUMMYFUNCTION("IMPORTRANGE(""https://docs.google.com/spreadsheets/d/1IYY_tgx_IHuhSq3AJ5eI5OnqOPBNLWSHKh2a30DoXe8/edit?usp=sharing"",""ปัตตานี!M331"")"),0)</f>
        <v>0</v>
      </c>
      <c r="O436" s="175">
        <f t="shared" ca="1" si="114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IFERROR(__xludf.DUMMYFUNCTION("IMPORTRANGE(""https://docs.google.com/spreadsheets/d/1IYY_tgx_IHuhSq3AJ5eI5OnqOPBNLWSHKh2a30DoXe8/edit?usp=sharing"",""ปัตตานี!L332"")"),76000)</f>
        <v>76000</v>
      </c>
      <c r="M437" s="169"/>
      <c r="N437" s="175">
        <f ca="1">IFERROR(__xludf.DUMMYFUNCTION("IMPORTRANGE(""https://docs.google.com/spreadsheets/d/1IYY_tgx_IHuhSq3AJ5eI5OnqOPBNLWSHKh2a30DoXe8/edit?usp=sharing"",""ปัตตานี!M332"")"),52076.13)</f>
        <v>52076.13</v>
      </c>
      <c r="O437" s="175">
        <f t="shared" ca="1" si="114"/>
        <v>68.521223684210526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IFERROR(__xludf.DUMMYFUNCTION("IMPORTRANGE(""https://docs.google.com/spreadsheets/d/1IYY_tgx_IHuhSq3AJ5eI5OnqOPBNLWSHKh2a30DoXe8/edit?usp=sharing"",""ปัตตานี!L333"")"),0)</f>
        <v>0</v>
      </c>
      <c r="M438" s="175"/>
      <c r="N438" s="175">
        <f ca="1">IFERROR(__xludf.DUMMYFUNCTION("IMPORTRANGE(""https://docs.google.com/spreadsheets/d/1IYY_tgx_IHuhSq3AJ5eI5OnqOPBNLWSHKh2a30DoXe8/edit?usp=sharing"",""ปัตตานี!M333"")"),0)</f>
        <v>0</v>
      </c>
      <c r="O438" s="175">
        <f t="shared" ca="1" si="114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IFERROR(__xludf.DUMMYFUNCTION("IMPORTRANGE(""https://docs.google.com/spreadsheets/d/1IYY_tgx_IHuhSq3AJ5eI5OnqOPBNLWSHKh2a30DoXe8/edit?usp=sharing"",""ปัตตานี!L334"")"),76000)</f>
        <v>76000</v>
      </c>
      <c r="M439" s="175"/>
      <c r="N439" s="175">
        <f ca="1">IFERROR(__xludf.DUMMYFUNCTION("IMPORTRANGE(""https://docs.google.com/spreadsheets/d/1IYY_tgx_IHuhSq3AJ5eI5OnqOPBNLWSHKh2a30DoXe8/edit?usp=sharing"",""ปัตตานี!M334"")"),52076.13)</f>
        <v>52076.13</v>
      </c>
      <c r="O439" s="175">
        <f t="shared" ca="1" si="114"/>
        <v>68.521223684210526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IFERROR(__xludf.DUMMYFUNCTION("IMPORTRANGE(""https://docs.google.com/spreadsheets/d/1IYY_tgx_IHuhSq3AJ5eI5OnqOPBNLWSHKh2a30DoXe8/edit?usp=sharing"",""ปัตตานี!M335"")"),25200)</f>
        <v>25200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IFERROR(__xludf.DUMMYFUNCTION("IMPORTRANGE(""https://docs.google.com/spreadsheets/d/1IYY_tgx_IHuhSq3AJ5eI5OnqOPBNLWSHKh2a30DoXe8/edit?usp=sharing"",""ปัตตานี!M336"")"),0)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IFERROR(__xludf.DUMMYFUNCTION("IMPORTRANGE(""https://docs.google.com/spreadsheets/d/1IYY_tgx_IHuhSq3AJ5eI5OnqOPBNLWSHKh2a30DoXe8/edit?usp=sharing"",""ปัตตานี!M337"")"),0)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IFERROR(__xludf.DUMMYFUNCTION("IMPORTRANGE(""https://docs.google.com/spreadsheets/d/1IYY_tgx_IHuhSq3AJ5eI5OnqOPBNLWSHKh2a30DoXe8/edit?usp=sharing"",""ปัตตานี!M338"")"),26876.13)</f>
        <v>26876.13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IFERROR(__xludf.DUMMYFUNCTION("IMPORTRANGE(""https://docs.google.com/spreadsheets/d/1IYY_tgx_IHuhSq3AJ5eI5OnqOPBNLWSHKh2a30DoXe8/edit?usp=sharing"",""ปัตตานี!J340"")"),0)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IFERROR(__xludf.DUMMYFUNCTION("IMPORTRANGE(""https://docs.google.com/spreadsheets/d/1IYY_tgx_IHuhSq3AJ5eI5OnqOPBNLWSHKh2a30DoXe8/edit?usp=sharing"",""ปัตตานี!J341"")"),1)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IFERROR(__xludf.DUMMYFUNCTION("IMPORTRANGE(""https://docs.google.com/spreadsheets/d/1IYY_tgx_IHuhSq3AJ5eI5OnqOPBNLWSHKh2a30DoXe8/edit?usp=sharing"",""ปัตตานี!J342"")"),1)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IFERROR(__xludf.DUMMYFUNCTION("IMPORTRANGE(""https://docs.google.com/spreadsheets/d/1IYY_tgx_IHuhSq3AJ5eI5OnqOPBNLWSHKh2a30DoXe8/edit?usp=sharing"",""ปัตตานี!J343"")"),1)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IFERROR(__xludf.DUMMYFUNCTION("IMPORTRANGE(""https://docs.google.com/spreadsheets/d/1IYY_tgx_IHuhSq3AJ5eI5OnqOPBNLWSHKh2a30DoXe8/edit?usp=sharing"",""ปัตตานี!I344"")"),10)</f>
        <v>10</v>
      </c>
      <c r="J449" s="207">
        <f ca="1">IFERROR(__xludf.DUMMYFUNCTION("IMPORTRANGE(""https://docs.google.com/spreadsheets/d/1IYY_tgx_IHuhSq3AJ5eI5OnqOPBNLWSHKh2a30DoXe8/edit?usp=sharing"",""ปัตตานี!J344"")"),10)</f>
        <v>10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IFERROR(__xludf.DUMMYFUNCTION("IMPORTRANGE(""https://docs.google.com/spreadsheets/d/1IYY_tgx_IHuhSq3AJ5eI5OnqOPBNLWSHKh2a30DoXe8/edit?usp=sharing"",""ปัตตานี!I345"")"),10)</f>
        <v>10</v>
      </c>
      <c r="J450" s="195">
        <f ca="1">IFERROR(__xludf.DUMMYFUNCTION("IMPORTRANGE(""https://docs.google.com/spreadsheets/d/1IYY_tgx_IHuhSq3AJ5eI5OnqOPBNLWSHKh2a30DoXe8/edit?usp=sharing"",""ปัตตานี!J345"")"),10)</f>
        <v>10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IFERROR(__xludf.DUMMYFUNCTION("IMPORTRANGE(""https://docs.google.com/spreadsheets/d/1IYY_tgx_IHuhSq3AJ5eI5OnqOPBNLWSHKh2a30DoXe8/edit?usp=sharing"",""ปัตตานี!I346"")"),0)</f>
        <v>0</v>
      </c>
      <c r="J451" s="194">
        <f ca="1">IFERROR(__xludf.DUMMYFUNCTION("IMPORTRANGE(""https://docs.google.com/spreadsheets/d/1IYY_tgx_IHuhSq3AJ5eI5OnqOPBNLWSHKh2a30DoXe8/edit?usp=sharing"",""ปัตตานี!J346"")"),0)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IFERROR(__xludf.DUMMYFUNCTION("IMPORTRANGE(""https://docs.google.com/spreadsheets/d/1IYY_tgx_IHuhSq3AJ5eI5OnqOPBNLWSHKh2a30DoXe8/edit?usp=sharing"",""ปัตตานี!I347"")"),0)</f>
        <v>0</v>
      </c>
      <c r="J452" s="194">
        <f ca="1">IFERROR(__xludf.DUMMYFUNCTION("IMPORTRANGE(""https://docs.google.com/spreadsheets/d/1IYY_tgx_IHuhSq3AJ5eI5OnqOPBNLWSHKh2a30DoXe8/edit?usp=sharing"",""ปัตตานี!J347"")"),0)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IFERROR(__xludf.DUMMYFUNCTION("IMPORTRANGE(""https://docs.google.com/spreadsheets/d/1IYY_tgx_IHuhSq3AJ5eI5OnqOPBNLWSHKh2a30DoXe8/edit?usp=sharing"",""ปัตตานี!J348"")"),0)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IFERROR(__xludf.DUMMYFUNCTION("IMPORTRANGE(""https://docs.google.com/spreadsheets/d/1IYY_tgx_IHuhSq3AJ5eI5OnqOPBNLWSHKh2a30DoXe8/edit?usp=sharing"",""ปัตตานี!J349"")"),0)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IFERROR(__xludf.DUMMYFUNCTION("IMPORTRANGE(""https://docs.google.com/spreadsheets/d/1IYY_tgx_IHuhSq3AJ5eI5OnqOPBNLWSHKh2a30DoXe8/edit?usp=sharing"",""ปัตตานี!I350"")"),2341)</f>
        <v>2341</v>
      </c>
      <c r="J455" s="377">
        <f ca="1">IFERROR(__xludf.DUMMYFUNCTION("IMPORTRANGE(""https://docs.google.com/spreadsheets/d/1IYY_tgx_IHuhSq3AJ5eI5OnqOPBNLWSHKh2a30DoXe8/edit?usp=sharing"",""ปัตตานี!J350"")"),2341.08)</f>
        <v>2341.08</v>
      </c>
      <c r="K455" s="378">
        <f ca="1">IF(I455&gt;0,J455*100/I455,0)</f>
        <v>100.00341734301581</v>
      </c>
      <c r="L455" s="379">
        <f ca="1">IFERROR(__xludf.DUMMYFUNCTION("IMPORTRANGE(""https://docs.google.com/spreadsheets/d/1IYY_tgx_IHuhSq3AJ5eI5OnqOPBNLWSHKh2a30DoXe8/edit?usp=sharing"",""ปัตตานี!L350"")"),53226)</f>
        <v>53226</v>
      </c>
      <c r="M455" s="379"/>
      <c r="N455" s="379">
        <f ca="1">IFERROR(__xludf.DUMMYFUNCTION("IMPORTRANGE(""https://docs.google.com/spreadsheets/d/1IYY_tgx_IHuhSq3AJ5eI5OnqOPBNLWSHKh2a30DoXe8/edit?usp=sharing"",""ปัตตานี!M350"")"),53226)</f>
        <v>53226</v>
      </c>
      <c r="O455" s="379">
        <f t="shared" ref="O455:O459" ca="1" si="116">+IF(L455&gt;0,N455*100/L455,0)</f>
        <v>100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IFERROR(__xludf.DUMMYFUNCTION("IMPORTRANGE(""https://docs.google.com/spreadsheets/d/1IYY_tgx_IHuhSq3AJ5eI5OnqOPBNLWSHKh2a30DoXe8/edit?usp=sharing"",""ปัตตานี!L351"")"),0)</f>
        <v>0</v>
      </c>
      <c r="M456" s="168"/>
      <c r="N456" s="175">
        <f ca="1">IFERROR(__xludf.DUMMYFUNCTION("IMPORTRANGE(""https://docs.google.com/spreadsheets/d/1IYY_tgx_IHuhSq3AJ5eI5OnqOPBNLWSHKh2a30DoXe8/edit?usp=sharing"",""ปัตตานี!M351"")"),0)</f>
        <v>0</v>
      </c>
      <c r="O456" s="175">
        <f t="shared" ca="1" si="116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IFERROR(__xludf.DUMMYFUNCTION("IMPORTRANGE(""https://docs.google.com/spreadsheets/d/1IYY_tgx_IHuhSq3AJ5eI5OnqOPBNLWSHKh2a30DoXe8/edit?usp=sharing"",""ปัตตานี!L352"")"),53226)</f>
        <v>53226</v>
      </c>
      <c r="M457" s="169"/>
      <c r="N457" s="175">
        <f ca="1">IFERROR(__xludf.DUMMYFUNCTION("IMPORTRANGE(""https://docs.google.com/spreadsheets/d/1IYY_tgx_IHuhSq3AJ5eI5OnqOPBNLWSHKh2a30DoXe8/edit?usp=sharing"",""ปัตตานี!M352"")"),53226)</f>
        <v>53226</v>
      </c>
      <c r="O457" s="175">
        <f t="shared" ca="1" si="116"/>
        <v>100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IFERROR(__xludf.DUMMYFUNCTION("IMPORTRANGE(""https://docs.google.com/spreadsheets/d/1IYY_tgx_IHuhSq3AJ5eI5OnqOPBNLWSHKh2a30DoXe8/edit?usp=sharing"",""ปัตตานี!L353"")"),0)</f>
        <v>0</v>
      </c>
      <c r="M458" s="175"/>
      <c r="N458" s="175">
        <f ca="1">IFERROR(__xludf.DUMMYFUNCTION("IMPORTRANGE(""https://docs.google.com/spreadsheets/d/1IYY_tgx_IHuhSq3AJ5eI5OnqOPBNLWSHKh2a30DoXe8/edit?usp=sharing"",""ปัตตานี!M353"")"),0)</f>
        <v>0</v>
      </c>
      <c r="O458" s="175">
        <f t="shared" ca="1" si="116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IFERROR(__xludf.DUMMYFUNCTION("IMPORTRANGE(""https://docs.google.com/spreadsheets/d/1IYY_tgx_IHuhSq3AJ5eI5OnqOPBNLWSHKh2a30DoXe8/edit?usp=sharing"",""ปัตตานี!L354"")"),53226)</f>
        <v>53226</v>
      </c>
      <c r="M459" s="175"/>
      <c r="N459" s="175">
        <f ca="1">IFERROR(__xludf.DUMMYFUNCTION("IMPORTRANGE(""https://docs.google.com/spreadsheets/d/1IYY_tgx_IHuhSq3AJ5eI5OnqOPBNLWSHKh2a30DoXe8/edit?usp=sharing"",""ปัตตานี!M354"")"),53226)</f>
        <v>53226</v>
      </c>
      <c r="O459" s="175">
        <f t="shared" ca="1" si="116"/>
        <v>100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IFERROR(__xludf.DUMMYFUNCTION("IMPORTRANGE(""https://docs.google.com/spreadsheets/d/1IYY_tgx_IHuhSq3AJ5eI5OnqOPBNLWSHKh2a30DoXe8/edit?usp=sharing"",""ปัตตานี!M355"")"),0)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IFERROR(__xludf.DUMMYFUNCTION("IMPORTRANGE(""https://docs.google.com/spreadsheets/d/1IYY_tgx_IHuhSq3AJ5eI5OnqOPBNLWSHKh2a30DoXe8/edit?usp=sharing"",""ปัตตานี!M356"")"),0)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IFERROR(__xludf.DUMMYFUNCTION("IMPORTRANGE(""https://docs.google.com/spreadsheets/d/1IYY_tgx_IHuhSq3AJ5eI5OnqOPBNLWSHKh2a30DoXe8/edit?usp=sharing"",""ปัตตานี!M357"")"),0)</f>
        <v>0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IFERROR(__xludf.DUMMYFUNCTION("IMPORTRANGE(""https://docs.google.com/spreadsheets/d/1IYY_tgx_IHuhSq3AJ5eI5OnqOPBNLWSHKh2a30DoXe8/edit?usp=sharing"",""ปัตตานี!M358"")"),53226)</f>
        <v>53226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IFERROR(__xludf.DUMMYFUNCTION("IMPORTRANGE(""https://docs.google.com/spreadsheets/d/1IYY_tgx_IHuhSq3AJ5eI5OnqOPBNLWSHKh2a30DoXe8/edit?usp=sharing"",""ปัตตานี!I359"")"),2341)</f>
        <v>2341</v>
      </c>
      <c r="J464" s="273">
        <f ca="1">IFERROR(__xludf.DUMMYFUNCTION("IMPORTRANGE(""https://docs.google.com/spreadsheets/d/1IYY_tgx_IHuhSq3AJ5eI5OnqOPBNLWSHKh2a30DoXe8/edit?usp=sharing"",""ปัตตานี!J359"")"),2341.08)</f>
        <v>2341.08</v>
      </c>
      <c r="K464" s="274">
        <f t="shared" ref="K464:K515" ca="1" si="117">IF(I464&gt;0,J464*100/I464,0)</f>
        <v>100.00341734301581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IFERROR(__xludf.DUMMYFUNCTION("IMPORTRANGE(""https://docs.google.com/spreadsheets/d/1IYY_tgx_IHuhSq3AJ5eI5OnqOPBNLWSHKh2a30DoXe8/edit?usp=sharing"",""ปัตตานี!I360"")"),2341)</f>
        <v>2341</v>
      </c>
      <c r="J465" s="426">
        <f ca="1">IFERROR(__xludf.DUMMYFUNCTION("IMPORTRANGE(""https://docs.google.com/spreadsheets/d/1IYY_tgx_IHuhSq3AJ5eI5OnqOPBNLWSHKh2a30DoXe8/edit?usp=sharing"",""ปัตตานี!J360"")"),2341.08)</f>
        <v>2341.08</v>
      </c>
      <c r="K465" s="208">
        <f t="shared" ca="1" si="117"/>
        <v>100.00341734301581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IFERROR(__xludf.DUMMYFUNCTION("IMPORTRANGE(""https://docs.google.com/spreadsheets/d/1IYY_tgx_IHuhSq3AJ5eI5OnqOPBNLWSHKh2a30DoXe8/edit?usp=sharing"",""ปัตตานี!I361"")"),396)</f>
        <v>396</v>
      </c>
      <c r="J466" s="426">
        <f ca="1">IFERROR(__xludf.DUMMYFUNCTION("IMPORTRANGE(""https://docs.google.com/spreadsheets/d/1IYY_tgx_IHuhSq3AJ5eI5OnqOPBNLWSHKh2a30DoXe8/edit?usp=sharing"",""ปัตตานี!J361"")"),396)</f>
        <v>396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IFERROR(__xludf.DUMMYFUNCTION("IMPORTRANGE(""https://docs.google.com/spreadsheets/d/1IYY_tgx_IHuhSq3AJ5eI5OnqOPBNLWSHKh2a30DoXe8/edit?usp=sharing"",""ปัตตานี!I362"")"),0)</f>
        <v>0</v>
      </c>
      <c r="J467" s="195">
        <f ca="1">IFERROR(__xludf.DUMMYFUNCTION("IMPORTRANGE(""https://docs.google.com/spreadsheets/d/1IYY_tgx_IHuhSq3AJ5eI5OnqOPBNLWSHKh2a30DoXe8/edit?usp=sharing"",""ปัตตานี!J362"")"),2216.29)</f>
        <v>2216.29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IFERROR(__xludf.DUMMYFUNCTION("IMPORTRANGE(""https://docs.google.com/spreadsheets/d/1IYY_tgx_IHuhSq3AJ5eI5OnqOPBNLWSHKh2a30DoXe8/edit?usp=sharing"",""ปัตตานี!I363"")"),0)</f>
        <v>0</v>
      </c>
      <c r="J468" s="195">
        <f ca="1">IFERROR(__xludf.DUMMYFUNCTION("IMPORTRANGE(""https://docs.google.com/spreadsheets/d/1IYY_tgx_IHuhSq3AJ5eI5OnqOPBNLWSHKh2a30DoXe8/edit?usp=sharing"",""ปัตตานี!J363"")"),379)</f>
        <v>379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IFERROR(__xludf.DUMMYFUNCTION("IMPORTRANGE(""https://docs.google.com/spreadsheets/d/1IYY_tgx_IHuhSq3AJ5eI5OnqOPBNLWSHKh2a30DoXe8/edit?usp=sharing"",""ปัตตานี!I364"")"),0)</f>
        <v>0</v>
      </c>
      <c r="J469" s="195">
        <f ca="1">IFERROR(__xludf.DUMMYFUNCTION("IMPORTRANGE(""https://docs.google.com/spreadsheets/d/1IYY_tgx_IHuhSq3AJ5eI5OnqOPBNLWSHKh2a30DoXe8/edit?usp=sharing"",""ปัตตานี!J364"")"),10.37)</f>
        <v>10.37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IFERROR(__xludf.DUMMYFUNCTION("IMPORTRANGE(""https://docs.google.com/spreadsheets/d/1IYY_tgx_IHuhSq3AJ5eI5OnqOPBNLWSHKh2a30DoXe8/edit?usp=sharing"",""ปัตตานี!I365"")"),0)</f>
        <v>0</v>
      </c>
      <c r="J470" s="195">
        <f ca="1">IFERROR(__xludf.DUMMYFUNCTION("IMPORTRANGE(""https://docs.google.com/spreadsheets/d/1IYY_tgx_IHuhSq3AJ5eI5OnqOPBNLWSHKh2a30DoXe8/edit?usp=sharing"",""ปัตตานี!J365"")"),2)</f>
        <v>2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IFERROR(__xludf.DUMMYFUNCTION("IMPORTRANGE(""https://docs.google.com/spreadsheets/d/1IYY_tgx_IHuhSq3AJ5eI5OnqOPBNLWSHKh2a30DoXe8/edit?usp=sharing"",""ปัตตานี!I366"")"),0)</f>
        <v>0</v>
      </c>
      <c r="J471" s="195">
        <f ca="1">IFERROR(__xludf.DUMMYFUNCTION("IMPORTRANGE(""https://docs.google.com/spreadsheets/d/1IYY_tgx_IHuhSq3AJ5eI5OnqOPBNLWSHKh2a30DoXe8/edit?usp=sharing"",""ปัตตานี!J366"")"),114.42)</f>
        <v>114.42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IFERROR(__xludf.DUMMYFUNCTION("IMPORTRANGE(""https://docs.google.com/spreadsheets/d/1IYY_tgx_IHuhSq3AJ5eI5OnqOPBNLWSHKh2a30DoXe8/edit?usp=sharing"",""ปัตตานี!I367"")"),0)</f>
        <v>0</v>
      </c>
      <c r="J472" s="195">
        <f ca="1">IFERROR(__xludf.DUMMYFUNCTION("IMPORTRANGE(""https://docs.google.com/spreadsheets/d/1IYY_tgx_IHuhSq3AJ5eI5OnqOPBNLWSHKh2a30DoXe8/edit?usp=sharing"",""ปัตตานี!J367"")"),15)</f>
        <v>15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IFERROR(__xludf.DUMMYFUNCTION("IMPORTRANGE(""https://docs.google.com/spreadsheets/d/1IYY_tgx_IHuhSq3AJ5eI5OnqOPBNLWSHKh2a30DoXe8/edit?usp=sharing"",""ปัตตานี!I368"")"),2341)</f>
        <v>2341</v>
      </c>
      <c r="J473" s="426">
        <f ca="1">IFERROR(__xludf.DUMMYFUNCTION("IMPORTRANGE(""https://docs.google.com/spreadsheets/d/1IYY_tgx_IHuhSq3AJ5eI5OnqOPBNLWSHKh2a30DoXe8/edit?usp=sharing"",""ปัตตานี!J368"")"),2341.08)</f>
        <v>2341.08</v>
      </c>
      <c r="K473" s="208">
        <f t="shared" ca="1" si="117"/>
        <v>100.00341734301581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IFERROR(__xludf.DUMMYFUNCTION("IMPORTRANGE(""https://docs.google.com/spreadsheets/d/1IYY_tgx_IHuhSq3AJ5eI5OnqOPBNLWSHKh2a30DoXe8/edit?usp=sharing"",""ปัตตานี!I369"")"),396)</f>
        <v>396</v>
      </c>
      <c r="J474" s="426">
        <f ca="1">IFERROR(__xludf.DUMMYFUNCTION("IMPORTRANGE(""https://docs.google.com/spreadsheets/d/1IYY_tgx_IHuhSq3AJ5eI5OnqOPBNLWSHKh2a30DoXe8/edit?usp=sharing"",""ปัตตานี!J369"")"),396)</f>
        <v>396</v>
      </c>
      <c r="K474" s="208">
        <f t="shared" ca="1" si="117"/>
        <v>100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IFERROR(__xludf.DUMMYFUNCTION("IMPORTRANGE(""https://docs.google.com/spreadsheets/d/1IYY_tgx_IHuhSq3AJ5eI5OnqOPBNLWSHKh2a30DoXe8/edit?usp=sharing"",""ปัตตานี!I370"")"),0)</f>
        <v>0</v>
      </c>
      <c r="J475" s="195">
        <f ca="1">IFERROR(__xludf.DUMMYFUNCTION("IMPORTRANGE(""https://docs.google.com/spreadsheets/d/1IYY_tgx_IHuhSq3AJ5eI5OnqOPBNLWSHKh2a30DoXe8/edit?usp=sharing"",""ปัตตานี!J370"")"),2226.66)</f>
        <v>2226.66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IFERROR(__xludf.DUMMYFUNCTION("IMPORTRANGE(""https://docs.google.com/spreadsheets/d/1IYY_tgx_IHuhSq3AJ5eI5OnqOPBNLWSHKh2a30DoXe8/edit?usp=sharing"",""ปัตตานี!I371"")"),0)</f>
        <v>0</v>
      </c>
      <c r="J476" s="195">
        <f ca="1">IFERROR(__xludf.DUMMYFUNCTION("IMPORTRANGE(""https://docs.google.com/spreadsheets/d/1IYY_tgx_IHuhSq3AJ5eI5OnqOPBNLWSHKh2a30DoXe8/edit?usp=sharing"",""ปัตตานี!J371"")"),381)</f>
        <v>381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IFERROR(__xludf.DUMMYFUNCTION("IMPORTRANGE(""https://docs.google.com/spreadsheets/d/1IYY_tgx_IHuhSq3AJ5eI5OnqOPBNLWSHKh2a30DoXe8/edit?usp=sharing"",""ปัตตานี!I372"")"),0)</f>
        <v>0</v>
      </c>
      <c r="J477" s="195">
        <f ca="1">IFERROR(__xludf.DUMMYFUNCTION("IMPORTRANGE(""https://docs.google.com/spreadsheets/d/1IYY_tgx_IHuhSq3AJ5eI5OnqOPBNLWSHKh2a30DoXe8/edit?usp=sharing"",""ปัตตานี!J372"")"),0)</f>
        <v>0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IFERROR(__xludf.DUMMYFUNCTION("IMPORTRANGE(""https://docs.google.com/spreadsheets/d/1IYY_tgx_IHuhSq3AJ5eI5OnqOPBNLWSHKh2a30DoXe8/edit?usp=sharing"",""ปัตตานี!I373"")"),0)</f>
        <v>0</v>
      </c>
      <c r="J478" s="195">
        <f ca="1">IFERROR(__xludf.DUMMYFUNCTION("IMPORTRANGE(""https://docs.google.com/spreadsheets/d/1IYY_tgx_IHuhSq3AJ5eI5OnqOPBNLWSHKh2a30DoXe8/edit?usp=sharing"",""ปัตตานี!J373"")"),0)</f>
        <v>0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IFERROR(__xludf.DUMMYFUNCTION("IMPORTRANGE(""https://docs.google.com/spreadsheets/d/1IYY_tgx_IHuhSq3AJ5eI5OnqOPBNLWSHKh2a30DoXe8/edit?usp=sharing"",""ปัตตานี!I374"")"),0)</f>
        <v>0</v>
      </c>
      <c r="J479" s="195">
        <f ca="1">IFERROR(__xludf.DUMMYFUNCTION("IMPORTRANGE(""https://docs.google.com/spreadsheets/d/1IYY_tgx_IHuhSq3AJ5eI5OnqOPBNLWSHKh2a30DoXe8/edit?usp=sharing"",""ปัตตานี!J374"")"),114.42)</f>
        <v>114.42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IFERROR(__xludf.DUMMYFUNCTION("IMPORTRANGE(""https://docs.google.com/spreadsheets/d/1IYY_tgx_IHuhSq3AJ5eI5OnqOPBNLWSHKh2a30DoXe8/edit?usp=sharing"",""ปัตตานี!I375"")"),0)</f>
        <v>0</v>
      </c>
      <c r="J480" s="195">
        <f ca="1">IFERROR(__xludf.DUMMYFUNCTION("IMPORTRANGE(""https://docs.google.com/spreadsheets/d/1IYY_tgx_IHuhSq3AJ5eI5OnqOPBNLWSHKh2a30DoXe8/edit?usp=sharing"",""ปัตตานี!J375"")"),15)</f>
        <v>15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IFERROR(__xludf.DUMMYFUNCTION("IMPORTRANGE(""https://docs.google.com/spreadsheets/d/1IYY_tgx_IHuhSq3AJ5eI5OnqOPBNLWSHKh2a30DoXe8/edit?usp=sharing"",""ปัตตานี!I376"")"),2341)</f>
        <v>2341</v>
      </c>
      <c r="J481" s="426">
        <f ca="1">IFERROR(__xludf.DUMMYFUNCTION("IMPORTRANGE(""https://docs.google.com/spreadsheets/d/1IYY_tgx_IHuhSq3AJ5eI5OnqOPBNLWSHKh2a30DoXe8/edit?usp=sharing"",""ปัตตานี!J376"")"),2341.08)</f>
        <v>2341.08</v>
      </c>
      <c r="K481" s="208">
        <f t="shared" ca="1" si="117"/>
        <v>100.00341734301581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IFERROR(__xludf.DUMMYFUNCTION("IMPORTRANGE(""https://docs.google.com/spreadsheets/d/1IYY_tgx_IHuhSq3AJ5eI5OnqOPBNLWSHKh2a30DoXe8/edit?usp=sharing"",""ปัตตานี!I377"")"),396)</f>
        <v>396</v>
      </c>
      <c r="J482" s="426">
        <f ca="1">IFERROR(__xludf.DUMMYFUNCTION("IMPORTRANGE(""https://docs.google.com/spreadsheets/d/1IYY_tgx_IHuhSq3AJ5eI5OnqOPBNLWSHKh2a30DoXe8/edit?usp=sharing"",""ปัตตานี!J377"")"),396)</f>
        <v>396</v>
      </c>
      <c r="K482" s="208">
        <f t="shared" ca="1" si="117"/>
        <v>100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IFERROR(__xludf.DUMMYFUNCTION("IMPORTRANGE(""https://docs.google.com/spreadsheets/d/1IYY_tgx_IHuhSq3AJ5eI5OnqOPBNLWSHKh2a30DoXe8/edit?usp=sharing"",""ปัตตานี!I378"")"),0)</f>
        <v>0</v>
      </c>
      <c r="J483" s="195">
        <f ca="1">IFERROR(__xludf.DUMMYFUNCTION("IMPORTRANGE(""https://docs.google.com/spreadsheets/d/1IYY_tgx_IHuhSq3AJ5eI5OnqOPBNLWSHKh2a30DoXe8/edit?usp=sharing"",""ปัตตานี!J378"")"),2226.66)</f>
        <v>2226.66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IFERROR(__xludf.DUMMYFUNCTION("IMPORTRANGE(""https://docs.google.com/spreadsheets/d/1IYY_tgx_IHuhSq3AJ5eI5OnqOPBNLWSHKh2a30DoXe8/edit?usp=sharing"",""ปัตตานี!I379"")"),0)</f>
        <v>0</v>
      </c>
      <c r="J484" s="195">
        <f ca="1">IFERROR(__xludf.DUMMYFUNCTION("IMPORTRANGE(""https://docs.google.com/spreadsheets/d/1IYY_tgx_IHuhSq3AJ5eI5OnqOPBNLWSHKh2a30DoXe8/edit?usp=sharing"",""ปัตตานี!J379"")"),381)</f>
        <v>381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IFERROR(__xludf.DUMMYFUNCTION("IMPORTRANGE(""https://docs.google.com/spreadsheets/d/1IYY_tgx_IHuhSq3AJ5eI5OnqOPBNLWSHKh2a30DoXe8/edit?usp=sharing"",""ปัตตานี!I380"")"),0)</f>
        <v>0</v>
      </c>
      <c r="J485" s="195">
        <f ca="1">IFERROR(__xludf.DUMMYFUNCTION("IMPORTRANGE(""https://docs.google.com/spreadsheets/d/1IYY_tgx_IHuhSq3AJ5eI5OnqOPBNLWSHKh2a30DoXe8/edit?usp=sharing"",""ปัตตานี!J380"")"),0)</f>
        <v>0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IFERROR(__xludf.DUMMYFUNCTION("IMPORTRANGE(""https://docs.google.com/spreadsheets/d/1IYY_tgx_IHuhSq3AJ5eI5OnqOPBNLWSHKh2a30DoXe8/edit?usp=sharing"",""ปัตตานี!I381"")"),0)</f>
        <v>0</v>
      </c>
      <c r="J486" s="195">
        <f ca="1">IFERROR(__xludf.DUMMYFUNCTION("IMPORTRANGE(""https://docs.google.com/spreadsheets/d/1IYY_tgx_IHuhSq3AJ5eI5OnqOPBNLWSHKh2a30DoXe8/edit?usp=sharing"",""ปัตตานี!J381"")"),0)</f>
        <v>0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IFERROR(__xludf.DUMMYFUNCTION("IMPORTRANGE(""https://docs.google.com/spreadsheets/d/1IYY_tgx_IHuhSq3AJ5eI5OnqOPBNLWSHKh2a30DoXe8/edit?usp=sharing"",""ปัตตานี!I382"")"),0)</f>
        <v>0</v>
      </c>
      <c r="J487" s="426">
        <f ca="1">IFERROR(__xludf.DUMMYFUNCTION("IMPORTRANGE(""https://docs.google.com/spreadsheets/d/1IYY_tgx_IHuhSq3AJ5eI5OnqOPBNLWSHKh2a30DoXe8/edit?usp=sharing"",""ปัตตานี!J382"")"),114.42)</f>
        <v>114.42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IFERROR(__xludf.DUMMYFUNCTION("IMPORTRANGE(""https://docs.google.com/spreadsheets/d/1IYY_tgx_IHuhSq3AJ5eI5OnqOPBNLWSHKh2a30DoXe8/edit?usp=sharing"",""ปัตตานี!I383"")"),0)</f>
        <v>0</v>
      </c>
      <c r="J488" s="426">
        <f ca="1">IFERROR(__xludf.DUMMYFUNCTION("IMPORTRANGE(""https://docs.google.com/spreadsheets/d/1IYY_tgx_IHuhSq3AJ5eI5OnqOPBNLWSHKh2a30DoXe8/edit?usp=sharing"",""ปัตตานี!J383"")"),15)</f>
        <v>15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IFERROR(__xludf.DUMMYFUNCTION("IMPORTRANGE(""https://docs.google.com/spreadsheets/d/1IYY_tgx_IHuhSq3AJ5eI5OnqOPBNLWSHKh2a30DoXe8/edit?usp=sharing"",""ปัตตานี!I384"")"),0)</f>
        <v>0</v>
      </c>
      <c r="J489" s="195">
        <f ca="1">IFERROR(__xludf.DUMMYFUNCTION("IMPORTRANGE(""https://docs.google.com/spreadsheets/d/1IYY_tgx_IHuhSq3AJ5eI5OnqOPBNLWSHKh2a30DoXe8/edit?usp=sharing"",""ปัตตานี!J384"")"),114.42)</f>
        <v>114.42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IFERROR(__xludf.DUMMYFUNCTION("IMPORTRANGE(""https://docs.google.com/spreadsheets/d/1IYY_tgx_IHuhSq3AJ5eI5OnqOPBNLWSHKh2a30DoXe8/edit?usp=sharing"",""ปัตตานี!I385"")"),0)</f>
        <v>0</v>
      </c>
      <c r="J490" s="195">
        <f ca="1">IFERROR(__xludf.DUMMYFUNCTION("IMPORTRANGE(""https://docs.google.com/spreadsheets/d/1IYY_tgx_IHuhSq3AJ5eI5OnqOPBNLWSHKh2a30DoXe8/edit?usp=sharing"",""ปัตตานี!J385"")"),15)</f>
        <v>15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IFERROR(__xludf.DUMMYFUNCTION("IMPORTRANGE(""https://docs.google.com/spreadsheets/d/1IYY_tgx_IHuhSq3AJ5eI5OnqOPBNLWSHKh2a30DoXe8/edit?usp=sharing"",""ปัตตานี!I386"")"),0)</f>
        <v>0</v>
      </c>
      <c r="J491" s="195">
        <f ca="1">IFERROR(__xludf.DUMMYFUNCTION("IMPORTRANGE(""https://docs.google.com/spreadsheets/d/1IYY_tgx_IHuhSq3AJ5eI5OnqOPBNLWSHKh2a30DoXe8/edit?usp=sharing"",""ปัตตานี!J386"")"),0)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IFERROR(__xludf.DUMMYFUNCTION("IMPORTRANGE(""https://docs.google.com/spreadsheets/d/1IYY_tgx_IHuhSq3AJ5eI5OnqOPBNLWSHKh2a30DoXe8/edit?usp=sharing"",""ปัตตานี!I387"")"),0)</f>
        <v>0</v>
      </c>
      <c r="J492" s="195">
        <f ca="1">IFERROR(__xludf.DUMMYFUNCTION("IMPORTRANGE(""https://docs.google.com/spreadsheets/d/1IYY_tgx_IHuhSq3AJ5eI5OnqOPBNLWSHKh2a30DoXe8/edit?usp=sharing"",""ปัตตานี!J387"")"),0)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IFERROR(__xludf.DUMMYFUNCTION("IMPORTRANGE(""https://docs.google.com/spreadsheets/d/1IYY_tgx_IHuhSq3AJ5eI5OnqOPBNLWSHKh2a30DoXe8/edit?usp=sharing"",""ปัตตานี!I388"")"),0)</f>
        <v>0</v>
      </c>
      <c r="J493" s="195">
        <f ca="1">IFERROR(__xludf.DUMMYFUNCTION("IMPORTRANGE(""https://docs.google.com/spreadsheets/d/1IYY_tgx_IHuhSq3AJ5eI5OnqOPBNLWSHKh2a30DoXe8/edit?usp=sharing"",""ปัตตานี!J388"")"),0)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IFERROR(__xludf.DUMMYFUNCTION("IMPORTRANGE(""https://docs.google.com/spreadsheets/d/1IYY_tgx_IHuhSq3AJ5eI5OnqOPBNLWSHKh2a30DoXe8/edit?usp=sharing"",""ปัตตานี!I389"")"),0)</f>
        <v>0</v>
      </c>
      <c r="J494" s="442">
        <f ca="1">IFERROR(__xludf.DUMMYFUNCTION("IMPORTRANGE(""https://docs.google.com/spreadsheets/d/1IYY_tgx_IHuhSq3AJ5eI5OnqOPBNLWSHKh2a30DoXe8/edit?usp=sharing"",""ปัตตานี!J389"")"),0)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IFERROR(__xludf.DUMMYFUNCTION("IMPORTRANGE(""https://docs.google.com/spreadsheets/d/1IYY_tgx_IHuhSq3AJ5eI5OnqOPBNLWSHKh2a30DoXe8/edit?usp=sharing"",""ปัตตานี!I390"")"),0)</f>
        <v>0</v>
      </c>
      <c r="J495" s="442">
        <f ca="1">IFERROR(__xludf.DUMMYFUNCTION("IMPORTRANGE(""https://docs.google.com/spreadsheets/d/1IYY_tgx_IHuhSq3AJ5eI5OnqOPBNLWSHKh2a30DoXe8/edit?usp=sharing"",""ปัตตานี!J390"")"),0)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IFERROR(__xludf.DUMMYFUNCTION("IMPORTRANGE(""https://docs.google.com/spreadsheets/d/1IYY_tgx_IHuhSq3AJ5eI5OnqOPBNLWSHKh2a30DoXe8/edit?usp=sharing"",""ปัตตานี!I391"")"),0)</f>
        <v>0</v>
      </c>
      <c r="J496" s="442">
        <f ca="1">IFERROR(__xludf.DUMMYFUNCTION("IMPORTRANGE(""https://docs.google.com/spreadsheets/d/1IYY_tgx_IHuhSq3AJ5eI5OnqOPBNLWSHKh2a30DoXe8/edit?usp=sharing"",""ปัตตานี!J391"")"),0)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IFERROR(__xludf.DUMMYFUNCTION("IMPORTRANGE(""https://docs.google.com/spreadsheets/d/1IYY_tgx_IHuhSq3AJ5eI5OnqOPBNLWSHKh2a30DoXe8/edit?usp=sharing"",""ปัตตานี!I392"")"),0)</f>
        <v>0</v>
      </c>
      <c r="J497" s="449">
        <f ca="1">IFERROR(__xludf.DUMMYFUNCTION("IMPORTRANGE(""https://docs.google.com/spreadsheets/d/1IYY_tgx_IHuhSq3AJ5eI5OnqOPBNLWSHKh2a30DoXe8/edit?usp=sharing"",""ปัตตานี!J392"")"),0)</f>
        <v>0</v>
      </c>
      <c r="K497" s="450">
        <f t="shared" ca="1" si="117"/>
        <v>0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IFERROR(__xludf.DUMMYFUNCTION("IMPORTRANGE(""https://docs.google.com/spreadsheets/d/1IYY_tgx_IHuhSq3AJ5eI5OnqOPBNLWSHKh2a30DoXe8/edit?usp=sharing"",""ปัตตานี!I393"")"),0)</f>
        <v>0</v>
      </c>
      <c r="J498" s="426">
        <f ca="1">IFERROR(__xludf.DUMMYFUNCTION("IMPORTRANGE(""https://docs.google.com/spreadsheets/d/1IYY_tgx_IHuhSq3AJ5eI5OnqOPBNLWSHKh2a30DoXe8/edit?usp=sharing"",""ปัตตานี!J393"")"),0)</f>
        <v>0</v>
      </c>
      <c r="K498" s="167">
        <f t="shared" ca="1" si="117"/>
        <v>0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IFERROR(__xludf.DUMMYFUNCTION("IMPORTRANGE(""https://docs.google.com/spreadsheets/d/1IYY_tgx_IHuhSq3AJ5eI5OnqOPBNLWSHKh2a30DoXe8/edit?usp=sharing"",""ปัตตานี!I394"")"),0)</f>
        <v>0</v>
      </c>
      <c r="J499" s="426">
        <f ca="1">IFERROR(__xludf.DUMMYFUNCTION("IMPORTRANGE(""https://docs.google.com/spreadsheets/d/1IYY_tgx_IHuhSq3AJ5eI5OnqOPBNLWSHKh2a30DoXe8/edit?usp=sharing"",""ปัตตานี!J394"")"),0)</f>
        <v>0</v>
      </c>
      <c r="K499" s="208">
        <f t="shared" ca="1" si="117"/>
        <v>0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IFERROR(__xludf.DUMMYFUNCTION("IMPORTRANGE(""https://docs.google.com/spreadsheets/d/1IYY_tgx_IHuhSq3AJ5eI5OnqOPBNLWSHKh2a30DoXe8/edit?usp=sharing"",""ปัตตานี!I395"")"),0)</f>
        <v>0</v>
      </c>
      <c r="J500" s="166">
        <f ca="1">IFERROR(__xludf.DUMMYFUNCTION("IMPORTRANGE(""https://docs.google.com/spreadsheets/d/1IYY_tgx_IHuhSq3AJ5eI5OnqOPBNLWSHKh2a30DoXe8/edit?usp=sharing"",""ปัตตานี!J395"")"),0)</f>
        <v>0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IFERROR(__xludf.DUMMYFUNCTION("IMPORTRANGE(""https://docs.google.com/spreadsheets/d/1IYY_tgx_IHuhSq3AJ5eI5OnqOPBNLWSHKh2a30DoXe8/edit?usp=sharing"",""ปัตตานี!I396"")"),0)</f>
        <v>0</v>
      </c>
      <c r="J501" s="166">
        <f ca="1">IFERROR(__xludf.DUMMYFUNCTION("IMPORTRANGE(""https://docs.google.com/spreadsheets/d/1IYY_tgx_IHuhSq3AJ5eI5OnqOPBNLWSHKh2a30DoXe8/edit?usp=sharing"",""ปัตตานี!J396"")"),0)</f>
        <v>0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IFERROR(__xludf.DUMMYFUNCTION("IMPORTRANGE(""https://docs.google.com/spreadsheets/d/1IYY_tgx_IHuhSq3AJ5eI5OnqOPBNLWSHKh2a30DoXe8/edit?usp=sharing"",""ปัตตานี!I397"")"),0)</f>
        <v>0</v>
      </c>
      <c r="J502" s="195">
        <f ca="1">IFERROR(__xludf.DUMMYFUNCTION("IMPORTRANGE(""https://docs.google.com/spreadsheets/d/1IYY_tgx_IHuhSq3AJ5eI5OnqOPBNLWSHKh2a30DoXe8/edit?usp=sharing"",""ปัตตานี!J397"")"),0)</f>
        <v>0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IFERROR(__xludf.DUMMYFUNCTION("IMPORTRANGE(""https://docs.google.com/spreadsheets/d/1IYY_tgx_IHuhSq3AJ5eI5OnqOPBNLWSHKh2a30DoXe8/edit?usp=sharing"",""ปัตตานี!I398"")"),0)</f>
        <v>0</v>
      </c>
      <c r="J503" s="204">
        <f ca="1">IFERROR(__xludf.DUMMYFUNCTION("IMPORTRANGE(""https://docs.google.com/spreadsheets/d/1IYY_tgx_IHuhSq3AJ5eI5OnqOPBNLWSHKh2a30DoXe8/edit?usp=sharing"",""ปัตตานี!J398"")"),0)</f>
        <v>0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IFERROR(__xludf.DUMMYFUNCTION("IMPORTRANGE(""https://docs.google.com/spreadsheets/d/1IYY_tgx_IHuhSq3AJ5eI5OnqOPBNLWSHKh2a30DoXe8/edit?usp=sharing"",""ปัตตานี!I399"")"),0)</f>
        <v>0</v>
      </c>
      <c r="J504" s="195">
        <f ca="1">IFERROR(__xludf.DUMMYFUNCTION("IMPORTRANGE(""https://docs.google.com/spreadsheets/d/1IYY_tgx_IHuhSq3AJ5eI5OnqOPBNLWSHKh2a30DoXe8/edit?usp=sharing"",""ปัตตานี!J399"")"),0)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IFERROR(__xludf.DUMMYFUNCTION("IMPORTRANGE(""https://docs.google.com/spreadsheets/d/1IYY_tgx_IHuhSq3AJ5eI5OnqOPBNLWSHKh2a30DoXe8/edit?usp=sharing"",""ปัตตานี!I400"")"),0)</f>
        <v>0</v>
      </c>
      <c r="J505" s="204">
        <f ca="1">IFERROR(__xludf.DUMMYFUNCTION("IMPORTRANGE(""https://docs.google.com/spreadsheets/d/1IYY_tgx_IHuhSq3AJ5eI5OnqOPBNLWSHKh2a30DoXe8/edit?usp=sharing"",""ปัตตานี!J400"")"),0)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IFERROR(__xludf.DUMMYFUNCTION("IMPORTRANGE(""https://docs.google.com/spreadsheets/d/1IYY_tgx_IHuhSq3AJ5eI5OnqOPBNLWSHKh2a30DoXe8/edit?usp=sharing"",""ปัตตานี!I401"")"),0)</f>
        <v>0</v>
      </c>
      <c r="J506" s="195">
        <f ca="1">IFERROR(__xludf.DUMMYFUNCTION("IMPORTRANGE(""https://docs.google.com/spreadsheets/d/1IYY_tgx_IHuhSq3AJ5eI5OnqOPBNLWSHKh2a30DoXe8/edit?usp=sharing"",""ปัตตานี!J401"")"),0)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IFERROR(__xludf.DUMMYFUNCTION("IMPORTRANGE(""https://docs.google.com/spreadsheets/d/1IYY_tgx_IHuhSq3AJ5eI5OnqOPBNLWSHKh2a30DoXe8/edit?usp=sharing"",""ปัตตานี!I402"")"),0)</f>
        <v>0</v>
      </c>
      <c r="J507" s="204">
        <f ca="1">IFERROR(__xludf.DUMMYFUNCTION("IMPORTRANGE(""https://docs.google.com/spreadsheets/d/1IYY_tgx_IHuhSq3AJ5eI5OnqOPBNLWSHKh2a30DoXe8/edit?usp=sharing"",""ปัตตานี!J402"")"),0)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IFERROR(__xludf.DUMMYFUNCTION("IMPORTRANGE(""https://docs.google.com/spreadsheets/d/1IYY_tgx_IHuhSq3AJ5eI5OnqOPBNLWSHKh2a30DoXe8/edit?usp=sharing"",""ปัตตานี!I403"")"),0)</f>
        <v>0</v>
      </c>
      <c r="J508" s="166">
        <f ca="1">IFERROR(__xludf.DUMMYFUNCTION("IMPORTRANGE(""https://docs.google.com/spreadsheets/d/1IYY_tgx_IHuhSq3AJ5eI5OnqOPBNLWSHKh2a30DoXe8/edit?usp=sharing"",""ปัตตานี!J403"")"),0)</f>
        <v>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IFERROR(__xludf.DUMMYFUNCTION("IMPORTRANGE(""https://docs.google.com/spreadsheets/d/1IYY_tgx_IHuhSq3AJ5eI5OnqOPBNLWSHKh2a30DoXe8/edit?usp=sharing"",""ปัตตานี!I404"")"),0)</f>
        <v>0</v>
      </c>
      <c r="J509" s="166">
        <f ca="1">IFERROR(__xludf.DUMMYFUNCTION("IMPORTRANGE(""https://docs.google.com/spreadsheets/d/1IYY_tgx_IHuhSq3AJ5eI5OnqOPBNLWSHKh2a30DoXe8/edit?usp=sharing"",""ปัตตานี!J404"")"),0)</f>
        <v>0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IFERROR(__xludf.DUMMYFUNCTION("IMPORTRANGE(""https://docs.google.com/spreadsheets/d/1IYY_tgx_IHuhSq3AJ5eI5OnqOPBNLWSHKh2a30DoXe8/edit?usp=sharing"",""ปัตตานี!I405"")"),0)</f>
        <v>0</v>
      </c>
      <c r="J510" s="204">
        <f ca="1">IFERROR(__xludf.DUMMYFUNCTION("IMPORTRANGE(""https://docs.google.com/spreadsheets/d/1IYY_tgx_IHuhSq3AJ5eI5OnqOPBNLWSHKh2a30DoXe8/edit?usp=sharing"",""ปัตตานี!J405"")"),0)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IFERROR(__xludf.DUMMYFUNCTION("IMPORTRANGE(""https://docs.google.com/spreadsheets/d/1IYY_tgx_IHuhSq3AJ5eI5OnqOPBNLWSHKh2a30DoXe8/edit?usp=sharing"",""ปัตตานี!I406"")"),0)</f>
        <v>0</v>
      </c>
      <c r="J511" s="204">
        <f ca="1">IFERROR(__xludf.DUMMYFUNCTION("IMPORTRANGE(""https://docs.google.com/spreadsheets/d/1IYY_tgx_IHuhSq3AJ5eI5OnqOPBNLWSHKh2a30DoXe8/edit?usp=sharing"",""ปัตตานี!J406"")"),0)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IFERROR(__xludf.DUMMYFUNCTION("IMPORTRANGE(""https://docs.google.com/spreadsheets/d/1IYY_tgx_IHuhSq3AJ5eI5OnqOPBNLWSHKh2a30DoXe8/edit?usp=sharing"",""ปัตตานี!I407"")"),0)</f>
        <v>0</v>
      </c>
      <c r="J512" s="204">
        <f ca="1">IFERROR(__xludf.DUMMYFUNCTION("IMPORTRANGE(""https://docs.google.com/spreadsheets/d/1IYY_tgx_IHuhSq3AJ5eI5OnqOPBNLWSHKh2a30DoXe8/edit?usp=sharing"",""ปัตตานี!J407"")"),0)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IFERROR(__xludf.DUMMYFUNCTION("IMPORTRANGE(""https://docs.google.com/spreadsheets/d/1IYY_tgx_IHuhSq3AJ5eI5OnqOPBNLWSHKh2a30DoXe8/edit?usp=sharing"",""ปัตตานี!I408"")"),0)</f>
        <v>0</v>
      </c>
      <c r="J513" s="204">
        <f ca="1">IFERROR(__xludf.DUMMYFUNCTION("IMPORTRANGE(""https://docs.google.com/spreadsheets/d/1IYY_tgx_IHuhSq3AJ5eI5OnqOPBNLWSHKh2a30DoXe8/edit?usp=sharing"",""ปัตตานี!J408"")"),0)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IFERROR(__xludf.DUMMYFUNCTION("IMPORTRANGE(""https://docs.google.com/spreadsheets/d/1IYY_tgx_IHuhSq3AJ5eI5OnqOPBNLWSHKh2a30DoXe8/edit?usp=sharing"",""ปัตตานี!I409"")"),0)</f>
        <v>0</v>
      </c>
      <c r="J514" s="204">
        <f ca="1">IFERROR(__xludf.DUMMYFUNCTION("IMPORTRANGE(""https://docs.google.com/spreadsheets/d/1IYY_tgx_IHuhSq3AJ5eI5OnqOPBNLWSHKh2a30DoXe8/edit?usp=sharing"",""ปัตตานี!J409"")"),0)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IFERROR(__xludf.DUMMYFUNCTION("IMPORTRANGE(""https://docs.google.com/spreadsheets/d/1IYY_tgx_IHuhSq3AJ5eI5OnqOPBNLWSHKh2a30DoXe8/edit?usp=sharing"",""ปัตตานี!I410"")"),0)</f>
        <v>0</v>
      </c>
      <c r="J515" s="204">
        <f ca="1">IFERROR(__xludf.DUMMYFUNCTION("IMPORTRANGE(""https://docs.google.com/spreadsheets/d/1IYY_tgx_IHuhSq3AJ5eI5OnqOPBNLWSHKh2a30DoXe8/edit?usp=sharing"",""ปัตตานี!J410"")"),0)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IFERROR(__xludf.DUMMYFUNCTION("IMPORTRANGE(""https://docs.google.com/spreadsheets/d/1IYY_tgx_IHuhSq3AJ5eI5OnqOPBNLWSHKh2a30DoXe8/edit?usp=sharing"",""ปัตตานี!I411"")"),0)</f>
        <v>0</v>
      </c>
      <c r="J516" s="273">
        <f ca="1">IFERROR(__xludf.DUMMYFUNCTION("IMPORTRANGE(""https://docs.google.com/spreadsheets/d/1IYY_tgx_IHuhSq3AJ5eI5OnqOPBNLWSHKh2a30DoXe8/edit?usp=sharing"",""ปัตตานี!J411"")"),0)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IFERROR(__xludf.DUMMYFUNCTION("IMPORTRANGE(""https://docs.google.com/spreadsheets/d/1IYY_tgx_IHuhSq3AJ5eI5OnqOPBNLWSHKh2a30DoXe8/edit?usp=sharing"",""ปัตตานี!I412"")"),0)</f>
        <v>0</v>
      </c>
      <c r="J517" s="290">
        <f ca="1">IFERROR(__xludf.DUMMYFUNCTION("IMPORTRANGE(""https://docs.google.com/spreadsheets/d/1IYY_tgx_IHuhSq3AJ5eI5OnqOPBNLWSHKh2a30DoXe8/edit?usp=sharing"",""ปัตตานี!J412"")"),0)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IFERROR(__xludf.DUMMYFUNCTION("IMPORTRANGE(""https://docs.google.com/spreadsheets/d/1IYY_tgx_IHuhSq3AJ5eI5OnqOPBNLWSHKh2a30DoXe8/edit?usp=sharing"",""ปัตตานี!I413"")"),0)</f>
        <v>0</v>
      </c>
      <c r="J518" s="290">
        <f ca="1">IFERROR(__xludf.DUMMYFUNCTION("IMPORTRANGE(""https://docs.google.com/spreadsheets/d/1IYY_tgx_IHuhSq3AJ5eI5OnqOPBNLWSHKh2a30DoXe8/edit?usp=sharing"",""ปัตตานี!J413"")"),0)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IFERROR(__xludf.DUMMYFUNCTION("IMPORTRANGE(""https://docs.google.com/spreadsheets/d/1IYY_tgx_IHuhSq3AJ5eI5OnqOPBNLWSHKh2a30DoXe8/edit?usp=sharing"",""ปัตตานี!I414"")"),0)</f>
        <v>0</v>
      </c>
      <c r="J519" s="194">
        <f ca="1">IFERROR(__xludf.DUMMYFUNCTION("IMPORTRANGE(""https://docs.google.com/spreadsheets/d/1IYY_tgx_IHuhSq3AJ5eI5OnqOPBNLWSHKh2a30DoXe8/edit?usp=sharing"",""ปัตตานี!J414"")"),0)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IFERROR(__xludf.DUMMYFUNCTION("IMPORTRANGE(""https://docs.google.com/spreadsheets/d/1IYY_tgx_IHuhSq3AJ5eI5OnqOPBNLWSHKh2a30DoXe8/edit?usp=sharing"",""ปัตตานี!I415"")"),0)</f>
        <v>0</v>
      </c>
      <c r="J520" s="194">
        <f ca="1">IFERROR(__xludf.DUMMYFUNCTION("IMPORTRANGE(""https://docs.google.com/spreadsheets/d/1IYY_tgx_IHuhSq3AJ5eI5OnqOPBNLWSHKh2a30DoXe8/edit?usp=sharing"",""ปัตตานี!J415"")"),0)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IFERROR(__xludf.DUMMYFUNCTION("IMPORTRANGE(""https://docs.google.com/spreadsheets/d/1IYY_tgx_IHuhSq3AJ5eI5OnqOPBNLWSHKh2a30DoXe8/edit?usp=sharing"",""ปัตตานี!I416"")"),0)</f>
        <v>0</v>
      </c>
      <c r="J521" s="194">
        <f ca="1">IFERROR(__xludf.DUMMYFUNCTION("IMPORTRANGE(""https://docs.google.com/spreadsheets/d/1IYY_tgx_IHuhSq3AJ5eI5OnqOPBNLWSHKh2a30DoXe8/edit?usp=sharing"",""ปัตตานี!J416"")"),0)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IFERROR(__xludf.DUMMYFUNCTION("IMPORTRANGE(""https://docs.google.com/spreadsheets/d/1IYY_tgx_IHuhSq3AJ5eI5OnqOPBNLWSHKh2a30DoXe8/edit?usp=sharing"",""ปัตตานี!I417"")"),0)</f>
        <v>0</v>
      </c>
      <c r="J522" s="194">
        <f ca="1">IFERROR(__xludf.DUMMYFUNCTION("IMPORTRANGE(""https://docs.google.com/spreadsheets/d/1IYY_tgx_IHuhSq3AJ5eI5OnqOPBNLWSHKh2a30DoXe8/edit?usp=sharing"",""ปัตตานี!J417"")"),0)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IFERROR(__xludf.DUMMYFUNCTION("IMPORTRANGE(""https://docs.google.com/spreadsheets/d/1IYY_tgx_IHuhSq3AJ5eI5OnqOPBNLWSHKh2a30DoXe8/edit?usp=sharing"",""ปัตตานี!I418"")"),0)</f>
        <v>0</v>
      </c>
      <c r="J523" s="194">
        <f ca="1">IFERROR(__xludf.DUMMYFUNCTION("IMPORTRANGE(""https://docs.google.com/spreadsheets/d/1IYY_tgx_IHuhSq3AJ5eI5OnqOPBNLWSHKh2a30DoXe8/edit?usp=sharing"",""ปัตตานี!J418"")"),0)</f>
        <v>0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IFERROR(__xludf.DUMMYFUNCTION("IMPORTRANGE(""https://docs.google.com/spreadsheets/d/1IYY_tgx_IHuhSq3AJ5eI5OnqOPBNLWSHKh2a30DoXe8/edit?usp=sharing"",""ปัตตานี!I419"")"),0)</f>
        <v>0</v>
      </c>
      <c r="J524" s="194">
        <f ca="1">IFERROR(__xludf.DUMMYFUNCTION("IMPORTRANGE(""https://docs.google.com/spreadsheets/d/1IYY_tgx_IHuhSq3AJ5eI5OnqOPBNLWSHKh2a30DoXe8/edit?usp=sharing"",""ปัตตานี!J419"")"),0)</f>
        <v>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IFERROR(__xludf.DUMMYFUNCTION("IMPORTRANGE(""https://docs.google.com/spreadsheets/d/1IYY_tgx_IHuhSq3AJ5eI5OnqOPBNLWSHKh2a30DoXe8/edit?usp=sharing"",""ปัตตานี!I420"")"),0)</f>
        <v>0</v>
      </c>
      <c r="J525" s="290">
        <f ca="1">IFERROR(__xludf.DUMMYFUNCTION("IMPORTRANGE(""https://docs.google.com/spreadsheets/d/1IYY_tgx_IHuhSq3AJ5eI5OnqOPBNLWSHKh2a30DoXe8/edit?usp=sharing"",""ปัตตานี!J420"")"),0)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IFERROR(__xludf.DUMMYFUNCTION("IMPORTRANGE(""https://docs.google.com/spreadsheets/d/1IYY_tgx_IHuhSq3AJ5eI5OnqOPBNLWSHKh2a30DoXe8/edit?usp=sharing"",""ปัตตานี!I421"")"),0)</f>
        <v>0</v>
      </c>
      <c r="J526" s="290">
        <f ca="1">IFERROR(__xludf.DUMMYFUNCTION("IMPORTRANGE(""https://docs.google.com/spreadsheets/d/1IYY_tgx_IHuhSq3AJ5eI5OnqOPBNLWSHKh2a30DoXe8/edit?usp=sharing"",""ปัตตานี!J421"")"),0)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IFERROR(__xludf.DUMMYFUNCTION("IMPORTRANGE(""https://docs.google.com/spreadsheets/d/1IYY_tgx_IHuhSq3AJ5eI5OnqOPBNLWSHKh2a30DoXe8/edit?usp=sharing"",""ปัตตานี!I422"")"),0)</f>
        <v>0</v>
      </c>
      <c r="J527" s="204">
        <f ca="1">IFERROR(__xludf.DUMMYFUNCTION("IMPORTRANGE(""https://docs.google.com/spreadsheets/d/1IYY_tgx_IHuhSq3AJ5eI5OnqOPBNLWSHKh2a30DoXe8/edit?usp=sharing"",""ปัตตานี!J422"")"),0)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IFERROR(__xludf.DUMMYFUNCTION("IMPORTRANGE(""https://docs.google.com/spreadsheets/d/1IYY_tgx_IHuhSq3AJ5eI5OnqOPBNLWSHKh2a30DoXe8/edit?usp=sharing"",""ปัตตานี!I423"")"),0)</f>
        <v>0</v>
      </c>
      <c r="J528" s="204">
        <f ca="1">IFERROR(__xludf.DUMMYFUNCTION("IMPORTRANGE(""https://docs.google.com/spreadsheets/d/1IYY_tgx_IHuhSq3AJ5eI5OnqOPBNLWSHKh2a30DoXe8/edit?usp=sharing"",""ปัตตานี!J423"")"),0)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IFERROR(__xludf.DUMMYFUNCTION("IMPORTRANGE(""https://docs.google.com/spreadsheets/d/1IYY_tgx_IHuhSq3AJ5eI5OnqOPBNLWSHKh2a30DoXe8/edit?usp=sharing"",""ปัตตานี!I424"")"),0)</f>
        <v>0</v>
      </c>
      <c r="J529" s="204">
        <f ca="1">IFERROR(__xludf.DUMMYFUNCTION("IMPORTRANGE(""https://docs.google.com/spreadsheets/d/1IYY_tgx_IHuhSq3AJ5eI5OnqOPBNLWSHKh2a30DoXe8/edit?usp=sharing"",""ปัตตานี!J424"")"),0)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IFERROR(__xludf.DUMMYFUNCTION("IMPORTRANGE(""https://docs.google.com/spreadsheets/d/1IYY_tgx_IHuhSq3AJ5eI5OnqOPBNLWSHKh2a30DoXe8/edit?usp=sharing"",""ปัตตานี!I425"")"),0)</f>
        <v>0</v>
      </c>
      <c r="J530" s="204">
        <f ca="1">IFERROR(__xludf.DUMMYFUNCTION("IMPORTRANGE(""https://docs.google.com/spreadsheets/d/1IYY_tgx_IHuhSq3AJ5eI5OnqOPBNLWSHKh2a30DoXe8/edit?usp=sharing"",""ปัตตานี!J425"")"),0)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IFERROR(__xludf.DUMMYFUNCTION("IMPORTRANGE(""https://docs.google.com/spreadsheets/d/1IYY_tgx_IHuhSq3AJ5eI5OnqOPBNLWSHKh2a30DoXe8/edit?usp=sharing"",""ปัตตานี!I426"")"),0)</f>
        <v>0</v>
      </c>
      <c r="J531" s="204">
        <f ca="1">IFERROR(__xludf.DUMMYFUNCTION("IMPORTRANGE(""https://docs.google.com/spreadsheets/d/1IYY_tgx_IHuhSq3AJ5eI5OnqOPBNLWSHKh2a30DoXe8/edit?usp=sharing"",""ปัตตานี!J426"")"),0)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IFERROR(__xludf.DUMMYFUNCTION("IMPORTRANGE(""https://docs.google.com/spreadsheets/d/1IYY_tgx_IHuhSq3AJ5eI5OnqOPBNLWSHKh2a30DoXe8/edit?usp=sharing"",""ปัตตานี!I427"")"),0)</f>
        <v>0</v>
      </c>
      <c r="J532" s="472">
        <f ca="1">IFERROR(__xludf.DUMMYFUNCTION("IMPORTRANGE(""https://docs.google.com/spreadsheets/d/1IYY_tgx_IHuhSq3AJ5eI5OnqOPBNLWSHKh2a30DoXe8/edit?usp=sharing"",""ปัตตานี!J427"")"),0)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IFERROR(__xludf.DUMMYFUNCTION("IMPORTRANGE(""https://docs.google.com/spreadsheets/d/1IYY_tgx_IHuhSq3AJ5eI5OnqOPBNLWSHKh2a30DoXe8/edit?usp=sharing"",""ปัตตานี!I428"")"),20)</f>
        <v>20</v>
      </c>
      <c r="J533" s="416">
        <f ca="1">IFERROR(__xludf.DUMMYFUNCTION("IMPORTRANGE(""https://docs.google.com/spreadsheets/d/1IYY_tgx_IHuhSq3AJ5eI5OnqOPBNLWSHKh2a30DoXe8/edit?usp=sharing"",""ปัตตานี!J428"")"),20)</f>
        <v>20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IFERROR(__xludf.DUMMYFUNCTION("IMPORTRANGE(""https://docs.google.com/spreadsheets/d/1IYY_tgx_IHuhSq3AJ5eI5OnqOPBNLWSHKh2a30DoXe8/edit?usp=sharing"",""ปัตตานี!L428"")"),32640)</f>
        <v>32640</v>
      </c>
      <c r="M533" s="418"/>
      <c r="N533" s="418">
        <f ca="1">IFERROR(__xludf.DUMMYFUNCTION("IMPORTRANGE(""https://docs.google.com/spreadsheets/d/1IYY_tgx_IHuhSq3AJ5eI5OnqOPBNLWSHKh2a30DoXe8/edit?usp=sharing"",""ปัตตานี!M428"")"),30349.2)</f>
        <v>30349.200000000001</v>
      </c>
      <c r="O533" s="418">
        <f t="shared" ref="O533:O537" ca="1" si="118">+IF(L533&gt;0,N533*100/L533,0)</f>
        <v>92.981617647058826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IFERROR(__xludf.DUMMYFUNCTION("IMPORTRANGE(""https://docs.google.com/spreadsheets/d/1IYY_tgx_IHuhSq3AJ5eI5OnqOPBNLWSHKh2a30DoXe8/edit?usp=sharing"",""ปัตตานี!L429"")"),0)</f>
        <v>0</v>
      </c>
      <c r="M534" s="168"/>
      <c r="N534" s="175">
        <f ca="1">IFERROR(__xludf.DUMMYFUNCTION("IMPORTRANGE(""https://docs.google.com/spreadsheets/d/1IYY_tgx_IHuhSq3AJ5eI5OnqOPBNLWSHKh2a30DoXe8/edit?usp=sharing"",""ปัตตานี!M429"")"),0)</f>
        <v>0</v>
      </c>
      <c r="O534" s="175">
        <f t="shared" ca="1" si="118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IFERROR(__xludf.DUMMYFUNCTION("IMPORTRANGE(""https://docs.google.com/spreadsheets/d/1IYY_tgx_IHuhSq3AJ5eI5OnqOPBNLWSHKh2a30DoXe8/edit?usp=sharing"",""ปัตตานี!L430"")"),32640)</f>
        <v>32640</v>
      </c>
      <c r="M535" s="169"/>
      <c r="N535" s="175">
        <f ca="1">IFERROR(__xludf.DUMMYFUNCTION("IMPORTRANGE(""https://docs.google.com/spreadsheets/d/1IYY_tgx_IHuhSq3AJ5eI5OnqOPBNLWSHKh2a30DoXe8/edit?usp=sharing"",""ปัตตานี!M430"")"),30349.2)</f>
        <v>30349.200000000001</v>
      </c>
      <c r="O535" s="175">
        <f t="shared" ca="1" si="118"/>
        <v>92.981617647058826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IFERROR(__xludf.DUMMYFUNCTION("IMPORTRANGE(""https://docs.google.com/spreadsheets/d/1IYY_tgx_IHuhSq3AJ5eI5OnqOPBNLWSHKh2a30DoXe8/edit?usp=sharing"",""ปัตตานี!L431"")"),0)</f>
        <v>0</v>
      </c>
      <c r="M536" s="175"/>
      <c r="N536" s="175">
        <f ca="1">IFERROR(__xludf.DUMMYFUNCTION("IMPORTRANGE(""https://docs.google.com/spreadsheets/d/1IYY_tgx_IHuhSq3AJ5eI5OnqOPBNLWSHKh2a30DoXe8/edit?usp=sharing"",""ปัตตานี!M431"")"),0)</f>
        <v>0</v>
      </c>
      <c r="O536" s="175">
        <f t="shared" ca="1" si="118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IFERROR(__xludf.DUMMYFUNCTION("IMPORTRANGE(""https://docs.google.com/spreadsheets/d/1IYY_tgx_IHuhSq3AJ5eI5OnqOPBNLWSHKh2a30DoXe8/edit?usp=sharing"",""ปัตตานี!L432"")"),32640)</f>
        <v>32640</v>
      </c>
      <c r="M537" s="175"/>
      <c r="N537" s="175">
        <f ca="1">IFERROR(__xludf.DUMMYFUNCTION("IMPORTRANGE(""https://docs.google.com/spreadsheets/d/1IYY_tgx_IHuhSq3AJ5eI5OnqOPBNLWSHKh2a30DoXe8/edit?usp=sharing"",""ปัตตานี!M432"")"),30349.2)</f>
        <v>30349.200000000001</v>
      </c>
      <c r="O537" s="175">
        <f t="shared" ca="1" si="118"/>
        <v>92.981617647058826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IFERROR(__xludf.DUMMYFUNCTION("IMPORTRANGE(""https://docs.google.com/spreadsheets/d/1IYY_tgx_IHuhSq3AJ5eI5OnqOPBNLWSHKh2a30DoXe8/edit?usp=sharing"",""ปัตตานี!M433"")"),17040)</f>
        <v>17040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IFERROR(__xludf.DUMMYFUNCTION("IMPORTRANGE(""https://docs.google.com/spreadsheets/d/1IYY_tgx_IHuhSq3AJ5eI5OnqOPBNLWSHKh2a30DoXe8/edit?usp=sharing"",""ปัตตานี!M434"")"),0)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IFERROR(__xludf.DUMMYFUNCTION("IMPORTRANGE(""https://docs.google.com/spreadsheets/d/1IYY_tgx_IHuhSq3AJ5eI5OnqOPBNLWSHKh2a30DoXe8/edit?usp=sharing"",""ปัตตานี!M435"")"),0)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IFERROR(__xludf.DUMMYFUNCTION("IMPORTRANGE(""https://docs.google.com/spreadsheets/d/1IYY_tgx_IHuhSq3AJ5eI5OnqOPBNLWSHKh2a30DoXe8/edit?usp=sharing"",""ปัตตานี!M436"")"),13309.2)</f>
        <v>13309.2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IFERROR(__xludf.DUMMYFUNCTION("IMPORTRANGE(""https://docs.google.com/spreadsheets/d/1IYY_tgx_IHuhSq3AJ5eI5OnqOPBNLWSHKh2a30DoXe8/edit?usp=sharing"",""ปัตตานี!J438"")"),0)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IFERROR(__xludf.DUMMYFUNCTION("IMPORTRANGE(""https://docs.google.com/spreadsheets/d/1IYY_tgx_IHuhSq3AJ5eI5OnqOPBNLWSHKh2a30DoXe8/edit?usp=sharing"",""ปัตตานี!J439"")"),1)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IFERROR(__xludf.DUMMYFUNCTION("IMPORTRANGE(""https://docs.google.com/spreadsheets/d/1IYY_tgx_IHuhSq3AJ5eI5OnqOPBNLWSHKh2a30DoXe8/edit?usp=sharing"",""ปัตตานี!J440"")"),1)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IFERROR(__xludf.DUMMYFUNCTION("IMPORTRANGE(""https://docs.google.com/spreadsheets/d/1IYY_tgx_IHuhSq3AJ5eI5OnqOPBNLWSHKh2a30DoXe8/edit?usp=sharing"",""ปัตตานี!J441"")"),1)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IFERROR(__xludf.DUMMYFUNCTION("IMPORTRANGE(""https://docs.google.com/spreadsheets/d/1IYY_tgx_IHuhSq3AJ5eI5OnqOPBNLWSHKh2a30DoXe8/edit?usp=sharing"",""ปัตตานี!I442"")"),20)</f>
        <v>20</v>
      </c>
      <c r="J547" s="195">
        <f ca="1">IFERROR(__xludf.DUMMYFUNCTION("IMPORTRANGE(""https://docs.google.com/spreadsheets/d/1IYY_tgx_IHuhSq3AJ5eI5OnqOPBNLWSHKh2a30DoXe8/edit?usp=sharing"",""ปัตตานี!J442"")"),20)</f>
        <v>20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IFERROR(__xludf.DUMMYFUNCTION("IMPORTRANGE(""https://docs.google.com/spreadsheets/d/1IYY_tgx_IHuhSq3AJ5eI5OnqOPBNLWSHKh2a30DoXe8/edit?usp=sharing"",""ปัตตานี!J166"")"),0)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IFERROR(__xludf.DUMMYFUNCTION("IMPORTRANGE(""https://docs.google.com/spreadsheets/d/1IYY_tgx_IHuhSq3AJ5eI5OnqOPBNLWSHKh2a30DoXe8/edit?usp=sharing"",""ปัตตานี!J444"")"),0)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IFERROR(__xludf.DUMMYFUNCTION("IMPORTRANGE(""https://docs.google.com/spreadsheets/d/1IYY_tgx_IHuhSq3AJ5eI5OnqOPBNLWSHKh2a30DoXe8/edit?usp=sharing"",""ปัตตานี!J445"")"),0)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IFERROR(__xludf.DUMMYFUNCTION("IMPORTRANGE(""https://docs.google.com/spreadsheets/d/1IYY_tgx_IHuhSq3AJ5eI5OnqOPBNLWSHKh2a30DoXe8/edit?usp=sharing"",""ปัตตานี!I446"")"),0)</f>
        <v>0</v>
      </c>
      <c r="J551" s="416">
        <f ca="1">IFERROR(__xludf.DUMMYFUNCTION("IMPORTRANGE(""https://docs.google.com/spreadsheets/d/1IYY_tgx_IHuhSq3AJ5eI5OnqOPBNLWSHKh2a30DoXe8/edit?usp=sharing"",""ปัตตานี!J446"")"),0)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IFERROR(__xludf.DUMMYFUNCTION("IMPORTRANGE(""https://docs.google.com/spreadsheets/d/1IYY_tgx_IHuhSq3AJ5eI5OnqOPBNLWSHKh2a30DoXe8/edit?usp=sharing"",""ปัตตานี!L446"")"),0)</f>
        <v>0</v>
      </c>
      <c r="M551" s="418"/>
      <c r="N551" s="418">
        <f ca="1">IFERROR(__xludf.DUMMYFUNCTION("IMPORTRANGE(""https://docs.google.com/spreadsheets/d/1IYY_tgx_IHuhSq3AJ5eI5OnqOPBNLWSHKh2a30DoXe8/edit?usp=sharing"",""ปัตตานี!M446"")"),0)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IFERROR(__xludf.DUMMYFUNCTION("IMPORTRANGE(""https://docs.google.com/spreadsheets/d/1IYY_tgx_IHuhSq3AJ5eI5OnqOPBNLWSHKh2a30DoXe8/edit?usp=sharing"",""ปัตตานี!L447"")"),0)</f>
        <v>0</v>
      </c>
      <c r="M552" s="168"/>
      <c r="N552" s="175">
        <f ca="1">IFERROR(__xludf.DUMMYFUNCTION("IMPORTRANGE(""https://docs.google.com/spreadsheets/d/1IYY_tgx_IHuhSq3AJ5eI5OnqOPBNLWSHKh2a30DoXe8/edit?usp=sharing"",""ปัตตานี!M447"")"),0)</f>
        <v>0</v>
      </c>
      <c r="O552" s="175">
        <f t="shared" ca="1" si="120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IFERROR(__xludf.DUMMYFUNCTION("IMPORTRANGE(""https://docs.google.com/spreadsheets/d/1IYY_tgx_IHuhSq3AJ5eI5OnqOPBNLWSHKh2a30DoXe8/edit?usp=sharing"",""ปัตตานี!L448"")"),0)</f>
        <v>0</v>
      </c>
      <c r="M553" s="169"/>
      <c r="N553" s="175">
        <f ca="1">IFERROR(__xludf.DUMMYFUNCTION("IMPORTRANGE(""https://docs.google.com/spreadsheets/d/1IYY_tgx_IHuhSq3AJ5eI5OnqOPBNLWSHKh2a30DoXe8/edit?usp=sharing"",""ปัตตานี!M448"")"),0)</f>
        <v>0</v>
      </c>
      <c r="O553" s="175">
        <f t="shared" ca="1" si="120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IFERROR(__xludf.DUMMYFUNCTION("IMPORTRANGE(""https://docs.google.com/spreadsheets/d/1IYY_tgx_IHuhSq3AJ5eI5OnqOPBNLWSHKh2a30DoXe8/edit?usp=sharing"",""ปัตตานี!L449"")"),0)</f>
        <v>0</v>
      </c>
      <c r="M554" s="175"/>
      <c r="N554" s="175">
        <f ca="1">IFERROR(__xludf.DUMMYFUNCTION("IMPORTRANGE(""https://docs.google.com/spreadsheets/d/1IYY_tgx_IHuhSq3AJ5eI5OnqOPBNLWSHKh2a30DoXe8/edit?usp=sharing"",""ปัตตานี!M449"")"),0)</f>
        <v>0</v>
      </c>
      <c r="O554" s="175">
        <f t="shared" ca="1" si="120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IFERROR(__xludf.DUMMYFUNCTION("IMPORTRANGE(""https://docs.google.com/spreadsheets/d/1IYY_tgx_IHuhSq3AJ5eI5OnqOPBNLWSHKh2a30DoXe8/edit?usp=sharing"",""ปัตตานี!L450"")"),0)</f>
        <v>0</v>
      </c>
      <c r="M555" s="175"/>
      <c r="N555" s="175">
        <f ca="1">IFERROR(__xludf.DUMMYFUNCTION("IMPORTRANGE(""https://docs.google.com/spreadsheets/d/1IYY_tgx_IHuhSq3AJ5eI5OnqOPBNLWSHKh2a30DoXe8/edit?usp=sharing"",""ปัตตานี!M450"")"),0)</f>
        <v>0</v>
      </c>
      <c r="O555" s="175">
        <f t="shared" ca="1" si="120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IFERROR(__xludf.DUMMYFUNCTION("IMPORTRANGE(""https://docs.google.com/spreadsheets/d/1IYY_tgx_IHuhSq3AJ5eI5OnqOPBNLWSHKh2a30DoXe8/edit?usp=sharing"",""ปัตตานี!M451"")"),0)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IFERROR(__xludf.DUMMYFUNCTION("IMPORTRANGE(""https://docs.google.com/spreadsheets/d/1IYY_tgx_IHuhSq3AJ5eI5OnqOPBNLWSHKh2a30DoXe8/edit?usp=sharing"",""ปัตตานี!M452"")"),0)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IFERROR(__xludf.DUMMYFUNCTION("IMPORTRANGE(""https://docs.google.com/spreadsheets/d/1IYY_tgx_IHuhSq3AJ5eI5OnqOPBNLWSHKh2a30DoXe8/edit?usp=sharing"",""ปัตตานี!M453"")"),0)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IFERROR(__xludf.DUMMYFUNCTION("IMPORTRANGE(""https://docs.google.com/spreadsheets/d/1IYY_tgx_IHuhSq3AJ5eI5OnqOPBNLWSHKh2a30DoXe8/edit?usp=sharing"",""ปัตตานี!M454"")"),0)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IFERROR(__xludf.DUMMYFUNCTION("IMPORTRANGE(""https://docs.google.com/spreadsheets/d/1IYY_tgx_IHuhSq3AJ5eI5OnqOPBNLWSHKh2a30DoXe8/edit?usp=sharing"",""ปัตตานี!I455"")"),0)</f>
        <v>0</v>
      </c>
      <c r="J560" s="166">
        <f ca="1">IFERROR(__xludf.DUMMYFUNCTION("IMPORTRANGE(""https://docs.google.com/spreadsheets/d/1IYY_tgx_IHuhSq3AJ5eI5OnqOPBNLWSHKh2a30DoXe8/edit?usp=sharing"",""ปัตตานี!J455"")"),0)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IFERROR(__xludf.DUMMYFUNCTION("IMPORTRANGE(""https://docs.google.com/spreadsheets/d/1IYY_tgx_IHuhSq3AJ5eI5OnqOPBNLWSHKh2a30DoXe8/edit?usp=sharing"",""ปัตตานี!I456"")"),0)</f>
        <v>0</v>
      </c>
      <c r="J561" s="210">
        <f ca="1">IFERROR(__xludf.DUMMYFUNCTION("IMPORTRANGE(""https://docs.google.com/spreadsheets/d/1IYY_tgx_IHuhSq3AJ5eI5OnqOPBNLWSHKh2a30DoXe8/edit?usp=sharing"",""ปัตตานี!J456"")"),0)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IFERROR(__xludf.DUMMYFUNCTION("IMPORTRANGE(""https://docs.google.com/spreadsheets/d/1IYY_tgx_IHuhSq3AJ5eI5OnqOPBNLWSHKh2a30DoXe8/edit?usp=sharing"",""ปัตตานี!I459"")"),200)</f>
        <v>200</v>
      </c>
      <c r="J564" s="377">
        <f ca="1">IFERROR(__xludf.DUMMYFUNCTION("IMPORTRANGE(""https://docs.google.com/spreadsheets/d/1IYY_tgx_IHuhSq3AJ5eI5OnqOPBNLWSHKh2a30DoXe8/edit?usp=sharing"",""ปัตตานี!J459"")"),888)</f>
        <v>888</v>
      </c>
      <c r="K564" s="378">
        <f ca="1">IF(I564&gt;0,J564*100/I564,0)</f>
        <v>444</v>
      </c>
      <c r="L564" s="379">
        <f ca="1">IFERROR(__xludf.DUMMYFUNCTION("IMPORTRANGE(""https://docs.google.com/spreadsheets/d/1IYY_tgx_IHuhSq3AJ5eI5OnqOPBNLWSHKh2a30DoXe8/edit?usp=sharing"",""ปัตตานี!L459"")"),119520)</f>
        <v>119520</v>
      </c>
      <c r="M564" s="379"/>
      <c r="N564" s="379">
        <f ca="1">IFERROR(__xludf.DUMMYFUNCTION("IMPORTRANGE(""https://docs.google.com/spreadsheets/d/1IYY_tgx_IHuhSq3AJ5eI5OnqOPBNLWSHKh2a30DoXe8/edit?usp=sharing"",""ปัตตานี!M459"")"),118847.48)</f>
        <v>118847.48</v>
      </c>
      <c r="O564" s="379">
        <f t="shared" ref="O564:O568" ca="1" si="122">+IF(L564&gt;0,N564*100/L564,0)</f>
        <v>99.437315930388223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IFERROR(__xludf.DUMMYFUNCTION("IMPORTRANGE(""https://docs.google.com/spreadsheets/d/1IYY_tgx_IHuhSq3AJ5eI5OnqOPBNLWSHKh2a30DoXe8/edit?usp=sharing"",""ปัตตานี!L460"")"),0)</f>
        <v>0</v>
      </c>
      <c r="M565" s="168"/>
      <c r="N565" s="175">
        <f ca="1">IFERROR(__xludf.DUMMYFUNCTION("IMPORTRANGE(""https://docs.google.com/spreadsheets/d/1IYY_tgx_IHuhSq3AJ5eI5OnqOPBNLWSHKh2a30DoXe8/edit?usp=sharing"",""ปัตตานี!M460"")"),0)</f>
        <v>0</v>
      </c>
      <c r="O565" s="175">
        <f t="shared" ca="1" si="122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IFERROR(__xludf.DUMMYFUNCTION("IMPORTRANGE(""https://docs.google.com/spreadsheets/d/1IYY_tgx_IHuhSq3AJ5eI5OnqOPBNLWSHKh2a30DoXe8/edit?usp=sharing"",""ปัตตานี!L461"")"),119520)</f>
        <v>119520</v>
      </c>
      <c r="M566" s="169"/>
      <c r="N566" s="175">
        <f ca="1">IFERROR(__xludf.DUMMYFUNCTION("IMPORTRANGE(""https://docs.google.com/spreadsheets/d/1IYY_tgx_IHuhSq3AJ5eI5OnqOPBNLWSHKh2a30DoXe8/edit?usp=sharing"",""ปัตตานี!M461"")"),118847.48)</f>
        <v>118847.48</v>
      </c>
      <c r="O566" s="175">
        <f t="shared" ca="1" si="122"/>
        <v>99.437315930388223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IFERROR(__xludf.DUMMYFUNCTION("IMPORTRANGE(""https://docs.google.com/spreadsheets/d/1IYY_tgx_IHuhSq3AJ5eI5OnqOPBNLWSHKh2a30DoXe8/edit?usp=sharing"",""ปัตตานี!L462"")"),0)</f>
        <v>0</v>
      </c>
      <c r="M567" s="175"/>
      <c r="N567" s="175">
        <f ca="1">IFERROR(__xludf.DUMMYFUNCTION("IMPORTRANGE(""https://docs.google.com/spreadsheets/d/1IYY_tgx_IHuhSq3AJ5eI5OnqOPBNLWSHKh2a30DoXe8/edit?usp=sharing"",""ปัตตานี!M462"")"),0)</f>
        <v>0</v>
      </c>
      <c r="O567" s="175">
        <f t="shared" ca="1" si="122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IFERROR(__xludf.DUMMYFUNCTION("IMPORTRANGE(""https://docs.google.com/spreadsheets/d/1IYY_tgx_IHuhSq3AJ5eI5OnqOPBNLWSHKh2a30DoXe8/edit?usp=sharing"",""ปัตตานี!L463"")"),119520)</f>
        <v>119520</v>
      </c>
      <c r="M568" s="175"/>
      <c r="N568" s="175">
        <f ca="1">IFERROR(__xludf.DUMMYFUNCTION("IMPORTRANGE(""https://docs.google.com/spreadsheets/d/1IYY_tgx_IHuhSq3AJ5eI5OnqOPBNLWSHKh2a30DoXe8/edit?usp=sharing"",""ปัตตานี!M463"")"),118847.48)</f>
        <v>118847.48</v>
      </c>
      <c r="O568" s="175">
        <f t="shared" ca="1" si="122"/>
        <v>99.437315930388223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IFERROR(__xludf.DUMMYFUNCTION("IMPORTRANGE(""https://docs.google.com/spreadsheets/d/1IYY_tgx_IHuhSq3AJ5eI5OnqOPBNLWSHKh2a30DoXe8/edit?usp=sharing"",""ปัตตานี!M464"")"),0)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IFERROR(__xludf.DUMMYFUNCTION("IMPORTRANGE(""https://docs.google.com/spreadsheets/d/1IYY_tgx_IHuhSq3AJ5eI5OnqOPBNLWSHKh2a30DoXe8/edit?usp=sharing"",""ปัตตานี!M465"")"),0)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IFERROR(__xludf.DUMMYFUNCTION("IMPORTRANGE(""https://docs.google.com/spreadsheets/d/1IYY_tgx_IHuhSq3AJ5eI5OnqOPBNLWSHKh2a30DoXe8/edit?usp=sharing"",""ปัตตานี!M466"")"),97935.48)</f>
        <v>97935.48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IFERROR(__xludf.DUMMYFUNCTION("IMPORTRANGE(""https://docs.google.com/spreadsheets/d/1IYY_tgx_IHuhSq3AJ5eI5OnqOPBNLWSHKh2a30DoXe8/edit?usp=sharing"",""ปัตตานี!M467"")"),20912)</f>
        <v>20912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IFERROR(__xludf.DUMMYFUNCTION("IMPORTRANGE(""https://docs.google.com/spreadsheets/d/1IYY_tgx_IHuhSq3AJ5eI5OnqOPBNLWSHKh2a30DoXe8/edit?usp=sharing"",""ปัตตานี!I468"")"),200)</f>
        <v>200</v>
      </c>
      <c r="J573" s="426">
        <f ca="1">IFERROR(__xludf.DUMMYFUNCTION("IMPORTRANGE(""https://docs.google.com/spreadsheets/d/1IYY_tgx_IHuhSq3AJ5eI5OnqOPBNLWSHKh2a30DoXe8/edit?usp=sharing"",""ปัตตานี!J468"")"),888)</f>
        <v>888</v>
      </c>
      <c r="K573" s="208">
        <f ca="1">IF(I573&gt;0,J573*100/I573,0)</f>
        <v>444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IFERROR(__xludf.DUMMYFUNCTION("IMPORTRANGE(""https://docs.google.com/spreadsheets/d/1IYY_tgx_IHuhSq3AJ5eI5OnqOPBNLWSHKh2a30DoXe8/edit?usp=sharing"",""ปัตตานี!I470"")"),0)</f>
        <v>0</v>
      </c>
      <c r="J575" s="204">
        <f ca="1">IFERROR(__xludf.DUMMYFUNCTION("IMPORTRANGE(""https://docs.google.com/spreadsheets/d/1IYY_tgx_IHuhSq3AJ5eI5OnqOPBNLWSHKh2a30DoXe8/edit?usp=sharing"",""ปัตตานี!J470"")"),11)</f>
        <v>11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IFERROR(__xludf.DUMMYFUNCTION("IMPORTRANGE(""https://docs.google.com/spreadsheets/d/1IYY_tgx_IHuhSq3AJ5eI5OnqOPBNLWSHKh2a30DoXe8/edit?usp=sharing"",""ปัตตานี!I471"")"),0)</f>
        <v>0</v>
      </c>
      <c r="J576" s="204">
        <f ca="1">IFERROR(__xludf.DUMMYFUNCTION("IMPORTRANGE(""https://docs.google.com/spreadsheets/d/1IYY_tgx_IHuhSq3AJ5eI5OnqOPBNLWSHKh2a30DoXe8/edit?usp=sharing"",""ปัตตานี!J471"")"),329)</f>
        <v>329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IFERROR(__xludf.DUMMYFUNCTION("IMPORTRANGE(""https://docs.google.com/spreadsheets/d/1IYY_tgx_IHuhSq3AJ5eI5OnqOPBNLWSHKh2a30DoXe8/edit?usp=sharing"",""ปัตตานี!I472"")"),0)</f>
        <v>0</v>
      </c>
      <c r="J577" s="195">
        <f ca="1">IFERROR(__xludf.DUMMYFUNCTION("IMPORTRANGE(""https://docs.google.com/spreadsheets/d/1IYY_tgx_IHuhSq3AJ5eI5OnqOPBNLWSHKh2a30DoXe8/edit?usp=sharing"",""ปัตตานี!J472"")"),403)</f>
        <v>403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IFERROR(__xludf.DUMMYFUNCTION("IMPORTRANGE(""https://docs.google.com/spreadsheets/d/1IYY_tgx_IHuhSq3AJ5eI5OnqOPBNLWSHKh2a30DoXe8/edit?usp=sharing"",""ปัตตานี!I473"")"),0)</f>
        <v>0</v>
      </c>
      <c r="J578" s="204">
        <f ca="1">IFERROR(__xludf.DUMMYFUNCTION("IMPORTRANGE(""https://docs.google.com/spreadsheets/d/1IYY_tgx_IHuhSq3AJ5eI5OnqOPBNLWSHKh2a30DoXe8/edit?usp=sharing"",""ปัตตานี!J473"")"),1)</f>
        <v>1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IFERROR(__xludf.DUMMYFUNCTION("IMPORTRANGE(""https://docs.google.com/spreadsheets/d/1IYY_tgx_IHuhSq3AJ5eI5OnqOPBNLWSHKh2a30DoXe8/edit?usp=sharing"",""ปัตตานี!I474"")"),0)</f>
        <v>0</v>
      </c>
      <c r="J579" s="204">
        <f ca="1">IFERROR(__xludf.DUMMYFUNCTION("IMPORTRANGE(""https://docs.google.com/spreadsheets/d/1IYY_tgx_IHuhSq3AJ5eI5OnqOPBNLWSHKh2a30DoXe8/edit?usp=sharing"",""ปัตตานี!J474"")"),155)</f>
        <v>155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IFERROR(__xludf.DUMMYFUNCTION("IMPORTRANGE(""https://docs.google.com/spreadsheets/d/1IYY_tgx_IHuhSq3AJ5eI5OnqOPBNLWSHKh2a30DoXe8/edit?usp=sharing"",""ปัตตานี!I475"")"),0)</f>
        <v>0</v>
      </c>
      <c r="J580" s="377">
        <f ca="1">IFERROR(__xludf.DUMMYFUNCTION("IMPORTRANGE(""https://docs.google.com/spreadsheets/d/1IYY_tgx_IHuhSq3AJ5eI5OnqOPBNLWSHKh2a30DoXe8/edit?usp=sharing"",""ปัตตานี!J475"")"),0)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IFERROR(__xludf.DUMMYFUNCTION("IMPORTRANGE(""https://docs.google.com/spreadsheets/d/1IYY_tgx_IHuhSq3AJ5eI5OnqOPBNLWSHKh2a30DoXe8/edit?usp=sharing"",""ปัตตานี!L475"")"),0)</f>
        <v>0</v>
      </c>
      <c r="M580" s="379"/>
      <c r="N580" s="379">
        <f ca="1">IFERROR(__xludf.DUMMYFUNCTION("IMPORTRANGE(""https://docs.google.com/spreadsheets/d/1IYY_tgx_IHuhSq3AJ5eI5OnqOPBNLWSHKh2a30DoXe8/edit?usp=sharing"",""ปัตตานี!M475"")"),0)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IFERROR(__xludf.DUMMYFUNCTION("IMPORTRANGE(""https://docs.google.com/spreadsheets/d/1IYY_tgx_IHuhSq3AJ5eI5OnqOPBNLWSHKh2a30DoXe8/edit?usp=sharing"",""ปัตตานี!L476"")"),0)</f>
        <v>0</v>
      </c>
      <c r="M581" s="168"/>
      <c r="N581" s="175">
        <f ca="1">IFERROR(__xludf.DUMMYFUNCTION("IMPORTRANGE(""https://docs.google.com/spreadsheets/d/1IYY_tgx_IHuhSq3AJ5eI5OnqOPBNLWSHKh2a30DoXe8/edit?usp=sharing"",""ปัตตานี!M476"")"),0)</f>
        <v>0</v>
      </c>
      <c r="O581" s="175">
        <f t="shared" ca="1" si="124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IFERROR(__xludf.DUMMYFUNCTION("IMPORTRANGE(""https://docs.google.com/spreadsheets/d/1IYY_tgx_IHuhSq3AJ5eI5OnqOPBNLWSHKh2a30DoXe8/edit?usp=sharing"",""ปัตตานี!L477"")"),0)</f>
        <v>0</v>
      </c>
      <c r="M582" s="169"/>
      <c r="N582" s="175">
        <f ca="1">IFERROR(__xludf.DUMMYFUNCTION("IMPORTRANGE(""https://docs.google.com/spreadsheets/d/1IYY_tgx_IHuhSq3AJ5eI5OnqOPBNLWSHKh2a30DoXe8/edit?usp=sharing"",""ปัตตานี!M477"")"),0)</f>
        <v>0</v>
      </c>
      <c r="O582" s="175">
        <f t="shared" ca="1" si="124"/>
        <v>0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IFERROR(__xludf.DUMMYFUNCTION("IMPORTRANGE(""https://docs.google.com/spreadsheets/d/1IYY_tgx_IHuhSq3AJ5eI5OnqOPBNLWSHKh2a30DoXe8/edit?usp=sharing"",""ปัตตานี!L478"")"),0)</f>
        <v>0</v>
      </c>
      <c r="M583" s="175"/>
      <c r="N583" s="175">
        <f ca="1">IFERROR(__xludf.DUMMYFUNCTION("IMPORTRANGE(""https://docs.google.com/spreadsheets/d/1IYY_tgx_IHuhSq3AJ5eI5OnqOPBNLWSHKh2a30DoXe8/edit?usp=sharing"",""ปัตตานี!M478"")"),0)</f>
        <v>0</v>
      </c>
      <c r="O583" s="175">
        <f t="shared" ca="1" si="124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IFERROR(__xludf.DUMMYFUNCTION("IMPORTRANGE(""https://docs.google.com/spreadsheets/d/1IYY_tgx_IHuhSq3AJ5eI5OnqOPBNLWSHKh2a30DoXe8/edit?usp=sharing"",""ปัตตานี!L479"")"),0)</f>
        <v>0</v>
      </c>
      <c r="M584" s="175"/>
      <c r="N584" s="175">
        <f ca="1">IFERROR(__xludf.DUMMYFUNCTION("IMPORTRANGE(""https://docs.google.com/spreadsheets/d/1IYY_tgx_IHuhSq3AJ5eI5OnqOPBNLWSHKh2a30DoXe8/edit?usp=sharing"",""ปัตตานี!M479"")"),0)</f>
        <v>0</v>
      </c>
      <c r="O584" s="175">
        <f t="shared" ca="1" si="124"/>
        <v>0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IFERROR(__xludf.DUMMYFUNCTION("IMPORTRANGE(""https://docs.google.com/spreadsheets/d/1IYY_tgx_IHuhSq3AJ5eI5OnqOPBNLWSHKh2a30DoXe8/edit?usp=sharing"",""ปัตตานี!M480"")"),0)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IFERROR(__xludf.DUMMYFUNCTION("IMPORTRANGE(""https://docs.google.com/spreadsheets/d/1IYY_tgx_IHuhSq3AJ5eI5OnqOPBNLWSHKh2a30DoXe8/edit?usp=sharing"",""ปัตตานี!M481"")"),0)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IFERROR(__xludf.DUMMYFUNCTION("IMPORTRANGE(""https://docs.google.com/spreadsheets/d/1IYY_tgx_IHuhSq3AJ5eI5OnqOPBNLWSHKh2a30DoXe8/edit?usp=sharing"",""ปัตตานี!M482"")"),0)</f>
        <v>0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IFERROR(__xludf.DUMMYFUNCTION("IMPORTRANGE(""https://docs.google.com/spreadsheets/d/1IYY_tgx_IHuhSq3AJ5eI5OnqOPBNLWSHKh2a30DoXe8/edit?usp=sharing"",""ปัตตานี!M483"")"),0)</f>
        <v>0</v>
      </c>
      <c r="O588" s="175"/>
      <c r="P588" s="175"/>
    </row>
    <row r="589" spans="1:16" ht="21.75" customHeight="1" x14ac:dyDescent="0.2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IFERROR(__xludf.DUMMYFUNCTION("IMPORTRANGE(""https://docs.google.com/spreadsheets/d/1IYY_tgx_IHuhSq3AJ5eI5OnqOPBNLWSHKh2a30DoXe8/edit?usp=sharing"",""ปัตตานี!I484"")"),0)</f>
        <v>0</v>
      </c>
      <c r="J589" s="194">
        <f ca="1">IFERROR(__xludf.DUMMYFUNCTION("IMPORTRANGE(""https://docs.google.com/spreadsheets/d/1IYY_tgx_IHuhSq3AJ5eI5OnqOPBNLWSHKh2a30DoXe8/edit?usp=sharing"",""ปัตตานี!J484"")"),0)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2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IFERROR(__xludf.DUMMYFUNCTION("IMPORTRANGE(""https://docs.google.com/spreadsheets/d/1IYY_tgx_IHuhSq3AJ5eI5OnqOPBNLWSHKh2a30DoXe8/edit?usp=sharing"",""ปัตตานี!I485"")"),0)</f>
        <v>0</v>
      </c>
      <c r="J590" s="194">
        <f ca="1">IFERROR(__xludf.DUMMYFUNCTION("IMPORTRANGE(""https://docs.google.com/spreadsheets/d/1IYY_tgx_IHuhSq3AJ5eI5OnqOPBNLWSHKh2a30DoXe8/edit?usp=sharing"",""ปัตตานี!J485"")"),0)</f>
        <v>0</v>
      </c>
      <c r="K590" s="486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IFERROR(__xludf.DUMMYFUNCTION("IMPORTRANGE(""https://docs.google.com/spreadsheets/d/1IYY_tgx_IHuhSq3AJ5eI5OnqOPBNLWSHKh2a30DoXe8/edit?usp=sharing"",""ปัตตานี!I486"")"),0)</f>
        <v>0</v>
      </c>
      <c r="J591" s="194">
        <f ca="1">IFERROR(__xludf.DUMMYFUNCTION("IMPORTRANGE(""https://docs.google.com/spreadsheets/d/1IYY_tgx_IHuhSq3AJ5eI5OnqOPBNLWSHKh2a30DoXe8/edit?usp=sharing"",""ปัตตานี!J486"")"),0)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2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IFERROR(__xludf.DUMMYFUNCTION("IMPORTRANGE(""https://docs.google.com/spreadsheets/d/1IYY_tgx_IHuhSq3AJ5eI5OnqOPBNLWSHKh2a30DoXe8/edit?usp=sharing"",""ปัตตานี!I487"")"),0)</f>
        <v>0</v>
      </c>
      <c r="J592" s="194">
        <f ca="1">IFERROR(__xludf.DUMMYFUNCTION("IMPORTRANGE(""https://docs.google.com/spreadsheets/d/1IYY_tgx_IHuhSq3AJ5eI5OnqOPBNLWSHKh2a30DoXe8/edit?usp=sharing"",""ปัตตานี!J487"")"),0)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IFERROR(__xludf.DUMMYFUNCTION("IMPORTRANGE(""https://docs.google.com/spreadsheets/d/1IYY_tgx_IHuhSq3AJ5eI5OnqOPBNLWSHKh2a30DoXe8/edit?usp=sharing"",""ปัตตานี!I488"")"),0)</f>
        <v>0</v>
      </c>
      <c r="J593" s="194">
        <f ca="1">IFERROR(__xludf.DUMMYFUNCTION("IMPORTRANGE(""https://docs.google.com/spreadsheets/d/1IYY_tgx_IHuhSq3AJ5eI5OnqOPBNLWSHKh2a30DoXe8/edit?usp=sharing"",""ปัตตานี!J488"")"),0)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2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IFERROR(__xludf.DUMMYFUNCTION("IMPORTRANGE(""https://docs.google.com/spreadsheets/d/1IYY_tgx_IHuhSq3AJ5eI5OnqOPBNLWSHKh2a30DoXe8/edit?usp=sharing"",""ปัตตานี!I489"")"),0)</f>
        <v>0</v>
      </c>
      <c r="J594" s="194">
        <f ca="1">IFERROR(__xludf.DUMMYFUNCTION("IMPORTRANGE(""https://docs.google.com/spreadsheets/d/1IYY_tgx_IHuhSq3AJ5eI5OnqOPBNLWSHKh2a30DoXe8/edit?usp=sharing"",""ปัตตานี!J489"")"),0)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IFERROR(__xludf.DUMMYFUNCTION("IMPORTRANGE(""https://docs.google.com/spreadsheets/d/1IYY_tgx_IHuhSq3AJ5eI5OnqOPBNLWSHKh2a30DoXe8/edit?usp=sharing"",""ปัตตานี!I490"")"),0)</f>
        <v>0</v>
      </c>
      <c r="J595" s="194">
        <f ca="1">IFERROR(__xludf.DUMMYFUNCTION("IMPORTRANGE(""https://docs.google.com/spreadsheets/d/1IYY_tgx_IHuhSq3AJ5eI5OnqOPBNLWSHKh2a30DoXe8/edit?usp=sharing"",""ปัตตานี!J490"")"),0)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2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IFERROR(__xludf.DUMMYFUNCTION("IMPORTRANGE(""https://docs.google.com/spreadsheets/d/1IYY_tgx_IHuhSq3AJ5eI5OnqOPBNLWSHKh2a30DoXe8/edit?usp=sharing"",""ปัตตานี!I491"")"),0)</f>
        <v>0</v>
      </c>
      <c r="J596" s="247">
        <f ca="1">IFERROR(__xludf.DUMMYFUNCTION("IMPORTRANGE(""https://docs.google.com/spreadsheets/d/1IYY_tgx_IHuhSq3AJ5eI5OnqOPBNLWSHKh2a30DoXe8/edit?usp=sharing"",""ปัตตานี!J491"")"),0)</f>
        <v>0</v>
      </c>
      <c r="K596" s="493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IFERROR(__xludf.DUMMYFUNCTION("IMPORTRANGE(""https://docs.google.com/spreadsheets/d/1IYY_tgx_IHuhSq3AJ5eI5OnqOPBNLWSHKh2a30DoXe8/edit?usp=sharing"",""ปัตตานี!I492"")"),500)</f>
        <v>500</v>
      </c>
      <c r="J597" s="494">
        <f ca="1">IFERROR(__xludf.DUMMYFUNCTION("IMPORTRANGE(""https://docs.google.com/spreadsheets/d/1IYY_tgx_IHuhSq3AJ5eI5OnqOPBNLWSHKh2a30DoXe8/edit?usp=sharing"",""ปัตตานี!J492"")"),514.053)</f>
        <v>514.053</v>
      </c>
      <c r="K597" s="417">
        <f ca="1">IF(I597&gt;0,J597*100/I597,0)</f>
        <v>102.81060000000001</v>
      </c>
      <c r="L597" s="418">
        <f ca="1">IFERROR(__xludf.DUMMYFUNCTION("IMPORTRANGE(""https://docs.google.com/spreadsheets/d/1IYY_tgx_IHuhSq3AJ5eI5OnqOPBNLWSHKh2a30DoXe8/edit?usp=sharing"",""ปัตตานี!L492"")"),49240)</f>
        <v>49240</v>
      </c>
      <c r="M597" s="418"/>
      <c r="N597" s="418">
        <f ca="1">IFERROR(__xludf.DUMMYFUNCTION("IMPORTRANGE(""https://docs.google.com/spreadsheets/d/1IYY_tgx_IHuhSq3AJ5eI5OnqOPBNLWSHKh2a30DoXe8/edit?usp=sharing"",""ปัตตานี!M492"")"),25308)</f>
        <v>25308</v>
      </c>
      <c r="O597" s="418">
        <f t="shared" ref="O597:O601" ca="1" si="126">+IF(L597&gt;0,N597*100/L597,0)</f>
        <v>51.397238017871651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IFERROR(__xludf.DUMMYFUNCTION("IMPORTRANGE(""https://docs.google.com/spreadsheets/d/1IYY_tgx_IHuhSq3AJ5eI5OnqOPBNLWSHKh2a30DoXe8/edit?usp=sharing"",""ปัตตานี!L493"")"),0)</f>
        <v>0</v>
      </c>
      <c r="M598" s="168"/>
      <c r="N598" s="175">
        <f ca="1">IFERROR(__xludf.DUMMYFUNCTION("IMPORTRANGE(""https://docs.google.com/spreadsheets/d/1IYY_tgx_IHuhSq3AJ5eI5OnqOPBNLWSHKh2a30DoXe8/edit?usp=sharing"",""ปัตตานี!M493"")"),0)</f>
        <v>0</v>
      </c>
      <c r="O598" s="175">
        <f t="shared" ca="1" si="126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IFERROR(__xludf.DUMMYFUNCTION("IMPORTRANGE(""https://docs.google.com/spreadsheets/d/1IYY_tgx_IHuhSq3AJ5eI5OnqOPBNLWSHKh2a30DoXe8/edit?usp=sharing"",""ปัตตานี!L494"")"),49240)</f>
        <v>49240</v>
      </c>
      <c r="M599" s="169"/>
      <c r="N599" s="175">
        <f ca="1">IFERROR(__xludf.DUMMYFUNCTION("IMPORTRANGE(""https://docs.google.com/spreadsheets/d/1IYY_tgx_IHuhSq3AJ5eI5OnqOPBNLWSHKh2a30DoXe8/edit?usp=sharing"",""ปัตตานี!M494"")"),25308)</f>
        <v>25308</v>
      </c>
      <c r="O599" s="175">
        <f t="shared" ca="1" si="126"/>
        <v>51.397238017871651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IFERROR(__xludf.DUMMYFUNCTION("IMPORTRANGE(""https://docs.google.com/spreadsheets/d/1IYY_tgx_IHuhSq3AJ5eI5OnqOPBNLWSHKh2a30DoXe8/edit?usp=sharing"",""ปัตตานี!L495"")"),0)</f>
        <v>0</v>
      </c>
      <c r="M600" s="175"/>
      <c r="N600" s="175">
        <f ca="1">IFERROR(__xludf.DUMMYFUNCTION("IMPORTRANGE(""https://docs.google.com/spreadsheets/d/1IYY_tgx_IHuhSq3AJ5eI5OnqOPBNLWSHKh2a30DoXe8/edit?usp=sharing"",""ปัตตานี!M495"")"),0)</f>
        <v>0</v>
      </c>
      <c r="O600" s="175">
        <f t="shared" ca="1" si="126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IFERROR(__xludf.DUMMYFUNCTION("IMPORTRANGE(""https://docs.google.com/spreadsheets/d/1IYY_tgx_IHuhSq3AJ5eI5OnqOPBNLWSHKh2a30DoXe8/edit?usp=sharing"",""ปัตตานี!L496"")"),49240)</f>
        <v>49240</v>
      </c>
      <c r="M601" s="175"/>
      <c r="N601" s="175">
        <f ca="1">IFERROR(__xludf.DUMMYFUNCTION("IMPORTRANGE(""https://docs.google.com/spreadsheets/d/1IYY_tgx_IHuhSq3AJ5eI5OnqOPBNLWSHKh2a30DoXe8/edit?usp=sharing"",""ปัตตานี!M496"")"),25308)</f>
        <v>25308</v>
      </c>
      <c r="O601" s="175">
        <f t="shared" ca="1" si="126"/>
        <v>51.397238017871651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IFERROR(__xludf.DUMMYFUNCTION("IMPORTRANGE(""https://docs.google.com/spreadsheets/d/1IYY_tgx_IHuhSq3AJ5eI5OnqOPBNLWSHKh2a30DoXe8/edit?usp=sharing"",""ปัตตานี!M497"")"),0)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IFERROR(__xludf.DUMMYFUNCTION("IMPORTRANGE(""https://docs.google.com/spreadsheets/d/1IYY_tgx_IHuhSq3AJ5eI5OnqOPBNLWSHKh2a30DoXe8/edit?usp=sharing"",""ปัตตานี!M498"")"),0)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IFERROR(__xludf.DUMMYFUNCTION("IMPORTRANGE(""https://docs.google.com/spreadsheets/d/1IYY_tgx_IHuhSq3AJ5eI5OnqOPBNLWSHKh2a30DoXe8/edit?usp=sharing"",""ปัตตานี!M499"")"),0)</f>
        <v>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IFERROR(__xludf.DUMMYFUNCTION("IMPORTRANGE(""https://docs.google.com/spreadsheets/d/1IYY_tgx_IHuhSq3AJ5eI5OnqOPBNLWSHKh2a30DoXe8/edit?usp=sharing"",""ปัตตานี!M500"")"),25308)</f>
        <v>25308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IFERROR(__xludf.DUMMYFUNCTION("IMPORTRANGE(""https://docs.google.com/spreadsheets/d/1IYY_tgx_IHuhSq3AJ5eI5OnqOPBNLWSHKh2a30DoXe8/edit?usp=sharing"",""ปัตตานี!J502"")"),0)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IFERROR(__xludf.DUMMYFUNCTION("IMPORTRANGE(""https://docs.google.com/spreadsheets/d/1IYY_tgx_IHuhSq3AJ5eI5OnqOPBNLWSHKh2a30DoXe8/edit?usp=sharing"",""ปัตตานี!J503"")"),1)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IFERROR(__xludf.DUMMYFUNCTION("IMPORTRANGE(""https://docs.google.com/spreadsheets/d/1IYY_tgx_IHuhSq3AJ5eI5OnqOPBNLWSHKh2a30DoXe8/edit?usp=sharing"",""ปัตตานี!J166"")"),0)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2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IFERROR(__xludf.DUMMYFUNCTION("IMPORTRANGE(""https://docs.google.com/spreadsheets/d/1IYY_tgx_IHuhSq3AJ5eI5OnqOPBNLWSHKh2a30DoXe8/edit?usp=sharing"",""ปัตตานี!J166"")"),0)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IFERROR(__xludf.DUMMYFUNCTION("IMPORTRANGE(""https://docs.google.com/spreadsheets/d/1IYY_tgx_IHuhSq3AJ5eI5OnqOPBNLWSHKh2a30DoXe8/edit?usp=sharing"",""ปัตตานี!I506"")"),500)</f>
        <v>500</v>
      </c>
      <c r="J611" s="166">
        <f ca="1">IFERROR(__xludf.DUMMYFUNCTION("IMPORTRANGE(""https://docs.google.com/spreadsheets/d/1IYY_tgx_IHuhSq3AJ5eI5OnqOPBNLWSHKh2a30DoXe8/edit?usp=sharing"",""ปัตตานี!J506"")"),514.053)</f>
        <v>514.053</v>
      </c>
      <c r="K611" s="167">
        <f t="shared" ref="K611:K619" ca="1" si="127">IF(I$611&gt;0,J611*100/I$611,0)</f>
        <v>102.81060000000001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IFERROR(__xludf.DUMMYFUNCTION("IMPORTRANGE(""https://docs.google.com/spreadsheets/d/1IYY_tgx_IHuhSq3AJ5eI5OnqOPBNLWSHKh2a30DoXe8/edit?usp=sharing"",""ปัตตานี!I507"")"),0)</f>
        <v>0</v>
      </c>
      <c r="J612" s="204">
        <f ca="1">IFERROR(__xludf.DUMMYFUNCTION("IMPORTRANGE(""https://docs.google.com/spreadsheets/d/1IYY_tgx_IHuhSq3AJ5eI5OnqOPBNLWSHKh2a30DoXe8/edit?usp=sharing"",""ปัตตานี!J507"")"),513.554)</f>
        <v>513.55399999999997</v>
      </c>
      <c r="K612" s="167">
        <f t="shared" ca="1" si="127"/>
        <v>102.71079999999999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IFERROR(__xludf.DUMMYFUNCTION("IMPORTRANGE(""https://docs.google.com/spreadsheets/d/1IYY_tgx_IHuhSq3AJ5eI5OnqOPBNLWSHKh2a30DoXe8/edit?usp=sharing"",""ปัตตานี!I508"")"),0)</f>
        <v>0</v>
      </c>
      <c r="J613" s="204">
        <f ca="1">IFERROR(__xludf.DUMMYFUNCTION("IMPORTRANGE(""https://docs.google.com/spreadsheets/d/1IYY_tgx_IHuhSq3AJ5eI5OnqOPBNLWSHKh2a30DoXe8/edit?usp=sharing"",""ปัตตานี!J508"")"),513.554)</f>
        <v>513.55399999999997</v>
      </c>
      <c r="K613" s="167">
        <f t="shared" ca="1" si="127"/>
        <v>102.71079999999999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IFERROR(__xludf.DUMMYFUNCTION("IMPORTRANGE(""https://docs.google.com/spreadsheets/d/1IYY_tgx_IHuhSq3AJ5eI5OnqOPBNLWSHKh2a30DoXe8/edit?usp=sharing"",""ปัตตานี!I509"")"),0)</f>
        <v>0</v>
      </c>
      <c r="J614" s="204">
        <f ca="1">IFERROR(__xludf.DUMMYFUNCTION("IMPORTRANGE(""https://docs.google.com/spreadsheets/d/1IYY_tgx_IHuhSq3AJ5eI5OnqOPBNLWSHKh2a30DoXe8/edit?usp=sharing"",""ปัตตานี!J509"")"),513.554)</f>
        <v>513.55399999999997</v>
      </c>
      <c r="K614" s="167">
        <f t="shared" ca="1" si="127"/>
        <v>102.71079999999999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IFERROR(__xludf.DUMMYFUNCTION("IMPORTRANGE(""https://docs.google.com/spreadsheets/d/1IYY_tgx_IHuhSq3AJ5eI5OnqOPBNLWSHKh2a30DoXe8/edit?usp=sharing"",""ปัตตานี!I510"")"),0)</f>
        <v>0</v>
      </c>
      <c r="J615" s="204">
        <f ca="1">IFERROR(__xludf.DUMMYFUNCTION("IMPORTRANGE(""https://docs.google.com/spreadsheets/d/1IYY_tgx_IHuhSq3AJ5eI5OnqOPBNLWSHKh2a30DoXe8/edit?usp=sharing"",""ปัตตานี!J510"")"),513.554)</f>
        <v>513.55399999999997</v>
      </c>
      <c r="K615" s="167">
        <f t="shared" ca="1" si="127"/>
        <v>102.71079999999999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IFERROR(__xludf.DUMMYFUNCTION("IMPORTRANGE(""https://docs.google.com/spreadsheets/d/1IYY_tgx_IHuhSq3AJ5eI5OnqOPBNLWSHKh2a30DoXe8/edit?usp=sharing"",""ปัตตานี!I511"")"),0)</f>
        <v>0</v>
      </c>
      <c r="J616" s="204">
        <f ca="1">IFERROR(__xludf.DUMMYFUNCTION("IMPORTRANGE(""https://docs.google.com/spreadsheets/d/1IYY_tgx_IHuhSq3AJ5eI5OnqOPBNLWSHKh2a30DoXe8/edit?usp=sharing"",""ปัตตานี!J511"")"),513.554)</f>
        <v>513.55399999999997</v>
      </c>
      <c r="K616" s="167">
        <f t="shared" ca="1" si="127"/>
        <v>102.71079999999999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IFERROR(__xludf.DUMMYFUNCTION("IMPORTRANGE(""https://docs.google.com/spreadsheets/d/1IYY_tgx_IHuhSq3AJ5eI5OnqOPBNLWSHKh2a30DoXe8/edit?usp=sharing"",""ปัตตานี!I512"")"),0)</f>
        <v>0</v>
      </c>
      <c r="J617" s="194">
        <f ca="1">IFERROR(__xludf.DUMMYFUNCTION("IMPORTRANGE(""https://docs.google.com/spreadsheets/d/1IYY_tgx_IHuhSq3AJ5eI5OnqOPBNLWSHKh2a30DoXe8/edit?usp=sharing"",""ปัตตานี!J512"")"),514.053)</f>
        <v>514.053</v>
      </c>
      <c r="K617" s="167">
        <f t="shared" ca="1" si="127"/>
        <v>102.81060000000001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IFERROR(__xludf.DUMMYFUNCTION("IMPORTRANGE(""https://docs.google.com/spreadsheets/d/1IYY_tgx_IHuhSq3AJ5eI5OnqOPBNLWSHKh2a30DoXe8/edit?usp=sharing"",""ปัตตานี!I513"")"),0)</f>
        <v>0</v>
      </c>
      <c r="J618" s="195">
        <f ca="1">IFERROR(__xludf.DUMMYFUNCTION("IMPORTRANGE(""https://docs.google.com/spreadsheets/d/1IYY_tgx_IHuhSq3AJ5eI5OnqOPBNLWSHKh2a30DoXe8/edit?usp=sharing"",""ปัตตานี!J513"")"),308.917)</f>
        <v>308.91699999999997</v>
      </c>
      <c r="K618" s="167">
        <f t="shared" ca="1" si="127"/>
        <v>61.783399999999993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IFERROR(__xludf.DUMMYFUNCTION("IMPORTRANGE(""https://docs.google.com/spreadsheets/d/1IYY_tgx_IHuhSq3AJ5eI5OnqOPBNLWSHKh2a30DoXe8/edit?usp=sharing"",""ปัตตานี!I514"")"),0)</f>
        <v>0</v>
      </c>
      <c r="J619" s="195">
        <f ca="1">IFERROR(__xludf.DUMMYFUNCTION("IMPORTRANGE(""https://docs.google.com/spreadsheets/d/1IYY_tgx_IHuhSq3AJ5eI5OnqOPBNLWSHKh2a30DoXe8/edit?usp=sharing"",""ปัตตานี!J514"")"),205.136)</f>
        <v>205.136</v>
      </c>
      <c r="K619" s="167">
        <f t="shared" ca="1" si="127"/>
        <v>41.027200000000001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IFERROR(__xludf.DUMMYFUNCTION("IMPORTRANGE(""https://docs.google.com/spreadsheets/d/1IYY_tgx_IHuhSq3AJ5eI5OnqOPBNLWSHKh2a30DoXe8/edit?usp=sharing"",""ปัตตานี!I515"")"),0)</f>
        <v>0</v>
      </c>
      <c r="J620" s="209">
        <f ca="1">IFERROR(__xludf.DUMMYFUNCTION("IMPORTRANGE(""https://docs.google.com/spreadsheets/d/1IYY_tgx_IHuhSq3AJ5eI5OnqOPBNLWSHKh2a30DoXe8/edit?usp=sharing"",""ปัตตานี!J515"")"),0)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IFERROR(__xludf.DUMMYFUNCTION("IMPORTRANGE(""https://docs.google.com/spreadsheets/d/1IYY_tgx_IHuhSq3AJ5eI5OnqOPBNLWSHKh2a30DoXe8/edit?usp=sharing"",""ปัตตานี!I516"")"),0)</f>
        <v>0</v>
      </c>
      <c r="J621" s="209">
        <f ca="1">IFERROR(__xludf.DUMMYFUNCTION("IMPORTRANGE(""https://docs.google.com/spreadsheets/d/1IYY_tgx_IHuhSq3AJ5eI5OnqOPBNLWSHKh2a30DoXe8/edit?usp=sharing"",""ปัตตานี!J516"")"),0)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IFERROR(__xludf.DUMMYFUNCTION("IMPORTRANGE(""https://docs.google.com/spreadsheets/d/1IYY_tgx_IHuhSq3AJ5eI5OnqOPBNLWSHKh2a30DoXe8/edit?usp=sharing"",""ปัตตานี!I517"")"),0)</f>
        <v>0</v>
      </c>
      <c r="J622" s="195">
        <f ca="1">IFERROR(__xludf.DUMMYFUNCTION("IMPORTRANGE(""https://docs.google.com/spreadsheets/d/1IYY_tgx_IHuhSq3AJ5eI5OnqOPBNLWSHKh2a30DoXe8/edit?usp=sharing"",""ปัตตานี!J517"")"),0)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IFERROR(__xludf.DUMMYFUNCTION("IMPORTRANGE(""https://docs.google.com/spreadsheets/d/1IYY_tgx_IHuhSq3AJ5eI5OnqOPBNLWSHKh2a30DoXe8/edit?usp=sharing"",""ปัตตานี!I518"")"),0)</f>
        <v>0</v>
      </c>
      <c r="J623" s="195">
        <f ca="1">IFERROR(__xludf.DUMMYFUNCTION("IMPORTRANGE(""https://docs.google.com/spreadsheets/d/1IYY_tgx_IHuhSq3AJ5eI5OnqOPBNLWSHKh2a30DoXe8/edit?usp=sharing"",""ปัตตานี!J518"")"),0)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IFERROR(__xludf.DUMMYFUNCTION("IMPORTRANGE(""https://docs.google.com/spreadsheets/d/1IYY_tgx_IHuhSq3AJ5eI5OnqOPBNLWSHKh2a30DoXe8/edit?usp=sharing"",""ปัตตานี!I519"")"),0)</f>
        <v>0</v>
      </c>
      <c r="J624" s="194">
        <f ca="1">IFERROR(__xludf.DUMMYFUNCTION("IMPORTRANGE(""https://docs.google.com/spreadsheets/d/1IYY_tgx_IHuhSq3AJ5eI5OnqOPBNLWSHKh2a30DoXe8/edit?usp=sharing"",""ปัตตานี!J519"")"),0)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IFERROR(__xludf.DUMMYFUNCTION("IMPORTRANGE(""https://docs.google.com/spreadsheets/d/1IYY_tgx_IHuhSq3AJ5eI5OnqOPBNLWSHKh2a30DoXe8/edit?usp=sharing"",""ปัตตานี!I520"")"),0)</f>
        <v>0</v>
      </c>
      <c r="J625" s="195">
        <f ca="1">IFERROR(__xludf.DUMMYFUNCTION("IMPORTRANGE(""https://docs.google.com/spreadsheets/d/1IYY_tgx_IHuhSq3AJ5eI5OnqOPBNLWSHKh2a30DoXe8/edit?usp=sharing"",""ปัตตานี!J520"")"),0)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IFERROR(__xludf.DUMMYFUNCTION("IMPORTRANGE(""https://docs.google.com/spreadsheets/d/1IYY_tgx_IHuhSq3AJ5eI5OnqOPBNLWSHKh2a30DoXe8/edit?usp=sharing"",""ปัตตานี!I521"")"),0)</f>
        <v>0</v>
      </c>
      <c r="J626" s="195">
        <f ca="1">IFERROR(__xludf.DUMMYFUNCTION("IMPORTRANGE(""https://docs.google.com/spreadsheets/d/1IYY_tgx_IHuhSq3AJ5eI5OnqOPBNLWSHKh2a30DoXe8/edit?usp=sharing"",""ปัตตานี!J521"")"),0)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2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2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IFERROR(__xludf.DUMMYFUNCTION("IMPORTRANGE(""https://docs.google.com/spreadsheets/d/1IYY_tgx_IHuhSq3AJ5eI5OnqOPBNLWSHKh2a30DoXe8/edit?usp=sharing"",""ปัตตานี!I523"")"),239401.33)</f>
        <v>239401.33</v>
      </c>
      <c r="J628" s="347">
        <f ca="1">IFERROR(__xludf.DUMMYFUNCTION("IMPORTRANGE(""https://docs.google.com/spreadsheets/d/1IYY_tgx_IHuhSq3AJ5eI5OnqOPBNLWSHKh2a30DoXe8/edit?usp=sharing"",""ปัตตานี!J523"")"),306279.41)</f>
        <v>306279.40999999997</v>
      </c>
      <c r="K628" s="348">
        <f t="shared" ref="K628:K635" ca="1" si="129">IF(I628&gt;0,J628*100/I628,0)</f>
        <v>127.93555073399132</v>
      </c>
      <c r="L628" s="348"/>
      <c r="M628" s="348"/>
      <c r="N628" s="348"/>
      <c r="O628" s="175"/>
      <c r="P628" s="175"/>
    </row>
    <row r="629" spans="1:16" ht="21.75" customHeight="1" x14ac:dyDescent="0.2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IFERROR(__xludf.DUMMYFUNCTION("IMPORTRANGE(""https://docs.google.com/spreadsheets/d/1IYY_tgx_IHuhSq3AJ5eI5OnqOPBNLWSHKh2a30DoXe8/edit?usp=sharing"",""ปัตตานี!I524"")"),20)</f>
        <v>20</v>
      </c>
      <c r="J629" s="347">
        <f ca="1">IFERROR(__xludf.DUMMYFUNCTION("IMPORTRANGE(""https://docs.google.com/spreadsheets/d/1IYY_tgx_IHuhSq3AJ5eI5OnqOPBNLWSHKh2a30DoXe8/edit?usp=sharing"",""ปัตตานี!J524"")"),20)</f>
        <v>20</v>
      </c>
      <c r="K629" s="348">
        <f t="shared" ca="1" si="129"/>
        <v>100</v>
      </c>
      <c r="L629" s="348"/>
      <c r="M629" s="348"/>
      <c r="N629" s="348"/>
      <c r="O629" s="175"/>
      <c r="P629" s="175"/>
    </row>
    <row r="630" spans="1:16" ht="21.75" customHeight="1" x14ac:dyDescent="0.2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IFERROR(__xludf.DUMMYFUNCTION("IMPORTRANGE(""https://docs.google.com/spreadsheets/d/1IYY_tgx_IHuhSq3AJ5eI5OnqOPBNLWSHKh2a30DoXe8/edit?usp=sharing"",""ปัตตานี!I525"")"),2242432.42)</f>
        <v>2242432.42</v>
      </c>
      <c r="J630" s="347">
        <f ca="1">IFERROR(__xludf.DUMMYFUNCTION("IMPORTRANGE(""https://docs.google.com/spreadsheets/d/1IYY_tgx_IHuhSq3AJ5eI5OnqOPBNLWSHKh2a30DoXe8/edit?usp=sharing"",""ปัตตานี!J525"")"),279784.57)</f>
        <v>279784.57</v>
      </c>
      <c r="K630" s="348">
        <f t="shared" ca="1" si="129"/>
        <v>12.476833972994379</v>
      </c>
      <c r="L630" s="348"/>
      <c r="M630" s="348"/>
      <c r="N630" s="348"/>
      <c r="O630" s="175"/>
      <c r="P630" s="175"/>
    </row>
    <row r="631" spans="1:16" ht="21.75" customHeight="1" x14ac:dyDescent="0.2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IFERROR(__xludf.DUMMYFUNCTION("IMPORTRANGE(""https://docs.google.com/spreadsheets/d/1IYY_tgx_IHuhSq3AJ5eI5OnqOPBNLWSHKh2a30DoXe8/edit?usp=sharing"",""ปัตตานี!I526"")"),149)</f>
        <v>149</v>
      </c>
      <c r="J631" s="347">
        <f ca="1">IFERROR(__xludf.DUMMYFUNCTION("IMPORTRANGE(""https://docs.google.com/spreadsheets/d/1IYY_tgx_IHuhSq3AJ5eI5OnqOPBNLWSHKh2a30DoXe8/edit?usp=sharing"",""ปัตตานี!J526"")"),113)</f>
        <v>113</v>
      </c>
      <c r="K631" s="348">
        <f t="shared" ca="1" si="129"/>
        <v>75.838926174496649</v>
      </c>
      <c r="L631" s="348"/>
      <c r="M631" s="348"/>
      <c r="N631" s="348"/>
      <c r="O631" s="175"/>
      <c r="P631" s="175"/>
    </row>
    <row r="632" spans="1:16" ht="21.75" customHeight="1" x14ac:dyDescent="0.2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IFERROR(__xludf.DUMMYFUNCTION("IMPORTRANGE(""https://docs.google.com/spreadsheets/d/1IYY_tgx_IHuhSq3AJ5eI5OnqOPBNLWSHKh2a30DoXe8/edit?usp=sharing"",""ปัตตานี!I527"")"),45520.74)</f>
        <v>45520.74</v>
      </c>
      <c r="J632" s="347">
        <f ca="1">IFERROR(__xludf.DUMMYFUNCTION("IMPORTRANGE(""https://docs.google.com/spreadsheets/d/1IYY_tgx_IHuhSq3AJ5eI5OnqOPBNLWSHKh2a30DoXe8/edit?usp=sharing"",""ปัตตานี!J527"")"),77146.32)</f>
        <v>77146.320000000007</v>
      </c>
      <c r="K632" s="348">
        <f t="shared" ca="1" si="129"/>
        <v>169.47510080020669</v>
      </c>
      <c r="L632" s="348"/>
      <c r="M632" s="348"/>
      <c r="N632" s="348"/>
      <c r="O632" s="175"/>
      <c r="P632" s="175"/>
    </row>
    <row r="633" spans="1:16" ht="21.75" customHeight="1" x14ac:dyDescent="0.2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IFERROR(__xludf.DUMMYFUNCTION("IMPORTRANGE(""https://docs.google.com/spreadsheets/d/1IYY_tgx_IHuhSq3AJ5eI5OnqOPBNLWSHKh2a30DoXe8/edit?usp=sharing"",""ปัตตานี!I528"")"),86)</f>
        <v>86</v>
      </c>
      <c r="J633" s="347">
        <f ca="1">IFERROR(__xludf.DUMMYFUNCTION("IMPORTRANGE(""https://docs.google.com/spreadsheets/d/1IYY_tgx_IHuhSq3AJ5eI5OnqOPBNLWSHKh2a30DoXe8/edit?usp=sharing"",""ปัตตานี!J528"")"),75)</f>
        <v>75</v>
      </c>
      <c r="K633" s="348">
        <f t="shared" ca="1" si="129"/>
        <v>87.20930232558139</v>
      </c>
      <c r="L633" s="348"/>
      <c r="M633" s="348"/>
      <c r="N633" s="348"/>
      <c r="O633" s="175"/>
      <c r="P633" s="175"/>
    </row>
    <row r="634" spans="1:16" ht="21.75" customHeight="1" x14ac:dyDescent="0.2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IFERROR(__xludf.DUMMYFUNCTION("IMPORTRANGE(""https://docs.google.com/spreadsheets/d/1IYY_tgx_IHuhSq3AJ5eI5OnqOPBNLWSHKh2a30DoXe8/edit?usp=sharing"",""ปัตตานี!I529"")"),1204000)</f>
        <v>1204000</v>
      </c>
      <c r="J634" s="347">
        <f ca="1">IFERROR(__xludf.DUMMYFUNCTION("IMPORTRANGE(""https://docs.google.com/spreadsheets/d/1IYY_tgx_IHuhSq3AJ5eI5OnqOPBNLWSHKh2a30DoXe8/edit?usp=sharing"",""ปัตตานี!J529"")"),1204000)</f>
        <v>1204000</v>
      </c>
      <c r="K634" s="348">
        <f t="shared" ca="1" si="129"/>
        <v>100</v>
      </c>
      <c r="L634" s="348"/>
      <c r="M634" s="348"/>
      <c r="N634" s="348"/>
      <c r="O634" s="175"/>
      <c r="P634" s="175"/>
    </row>
    <row r="635" spans="1:16" ht="21.75" customHeight="1" x14ac:dyDescent="0.25">
      <c r="A635" s="487"/>
      <c r="B635" s="489"/>
      <c r="C635" s="489"/>
      <c r="D635" s="488"/>
      <c r="E635" s="515"/>
      <c r="F635" s="515"/>
      <c r="G635" s="516"/>
      <c r="H635" s="517" t="s">
        <v>37</v>
      </c>
      <c r="I635" s="518">
        <f ca="1">IFERROR(__xludf.DUMMYFUNCTION("IMPORTRANGE(""https://docs.google.com/spreadsheets/d/1IYY_tgx_IHuhSq3AJ5eI5OnqOPBNLWSHKh2a30DoXe8/edit?usp=sharing"",""ปัตตานี!I530"")"),4)</f>
        <v>4</v>
      </c>
      <c r="J635" s="518">
        <f ca="1">IFERROR(__xludf.DUMMYFUNCTION("IMPORTRANGE(""https://docs.google.com/spreadsheets/d/1IYY_tgx_IHuhSq3AJ5eI5OnqOPBNLWSHKh2a30DoXe8/edit?usp=sharing"",""ปัตตานี!J530"")"),27)</f>
        <v>27</v>
      </c>
      <c r="K635" s="493">
        <f t="shared" ca="1" si="129"/>
        <v>675</v>
      </c>
      <c r="L635" s="493"/>
      <c r="M635" s="493"/>
      <c r="N635" s="493"/>
      <c r="O635" s="519"/>
      <c r="P635" s="519"/>
    </row>
    <row r="636" spans="1:16" ht="21.75" customHeight="1" x14ac:dyDescent="0.3">
      <c r="A636" s="520"/>
      <c r="B636" s="599" t="s">
        <v>237</v>
      </c>
      <c r="C636" s="600"/>
      <c r="D636" s="600"/>
      <c r="E636" s="600"/>
      <c r="F636" s="600"/>
      <c r="G636" s="600"/>
      <c r="H636" s="521"/>
      <c r="I636" s="521"/>
      <c r="J636" s="521"/>
      <c r="K636" s="522"/>
      <c r="L636" s="523">
        <f ca="1">SUM(L637,L638)</f>
        <v>0</v>
      </c>
      <c r="M636" s="524"/>
      <c r="N636" s="523">
        <f ca="1">SUM(N637:N638)</f>
        <v>0</v>
      </c>
      <c r="O636" s="523">
        <f t="shared" ref="O636:O640" ca="1" si="130">+IF(L636&gt;0,N636*100/L636,0)</f>
        <v>0</v>
      </c>
      <c r="P636" s="523"/>
    </row>
    <row r="637" spans="1:16" ht="21.75" customHeight="1" x14ac:dyDescent="0.3">
      <c r="A637" s="525"/>
      <c r="B637" s="526"/>
      <c r="C637" s="527" t="s">
        <v>16</v>
      </c>
      <c r="D637" s="601" t="s">
        <v>77</v>
      </c>
      <c r="E637" s="575"/>
      <c r="F637" s="575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130"/>
        <v>0</v>
      </c>
      <c r="P637" s="535"/>
    </row>
    <row r="638" spans="1:16" ht="21.75" customHeight="1" x14ac:dyDescent="0.3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0</v>
      </c>
      <c r="M638" s="534"/>
      <c r="N638" s="535">
        <f ca="1">SUM(N639:N640)</f>
        <v>0</v>
      </c>
      <c r="O638" s="535">
        <f t="shared" ca="1" si="130"/>
        <v>0</v>
      </c>
      <c r="P638" s="535"/>
    </row>
    <row r="639" spans="1:16" ht="21.75" customHeight="1" x14ac:dyDescent="0.3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130"/>
        <v>0</v>
      </c>
      <c r="P639" s="535"/>
    </row>
    <row r="640" spans="1:16" ht="21.75" customHeight="1" x14ac:dyDescent="0.3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0</v>
      </c>
      <c r="M640" s="534"/>
      <c r="N640" s="535">
        <f ca="1">SUM(N641:N644)</f>
        <v>0</v>
      </c>
      <c r="O640" s="535">
        <f t="shared" ca="1" si="130"/>
        <v>0</v>
      </c>
      <c r="P640" s="535"/>
    </row>
    <row r="641" spans="1:16" ht="21.75" customHeight="1" x14ac:dyDescent="0.3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3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3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3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0</v>
      </c>
      <c r="O644" s="537"/>
      <c r="P644" s="537"/>
    </row>
    <row r="645" spans="1:16" ht="21.75" customHeight="1" x14ac:dyDescent="0.3">
      <c r="A645" s="539"/>
      <c r="B645" s="540"/>
      <c r="C645" s="527" t="s">
        <v>16</v>
      </c>
      <c r="D645" s="602" t="s">
        <v>242</v>
      </c>
      <c r="E645" s="575"/>
      <c r="F645" s="575"/>
      <c r="G645" s="575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3">
      <c r="A646" s="539"/>
      <c r="B646" s="540"/>
      <c r="C646" s="540"/>
      <c r="D646" s="541">
        <v>1</v>
      </c>
      <c r="E646" s="603" t="s">
        <v>44</v>
      </c>
      <c r="F646" s="575"/>
      <c r="G646" s="575"/>
      <c r="H646" s="536"/>
      <c r="I646" s="542"/>
      <c r="J646" s="543">
        <f ca="1">IFERROR(__xludf.DUMMYFUNCTION("IMPORTRANGE(""https://docs.google.com/spreadsheets/d/1IYY_tgx_IHuhSq3AJ5eI5OnqOPBNLWSHKh2a30DoXe8/edit?usp=sharing"",""ปัตตานี!J541"")"),0)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3">
      <c r="A647" s="539"/>
      <c r="B647" s="540"/>
      <c r="C647" s="540"/>
      <c r="D647" s="545">
        <v>2</v>
      </c>
      <c r="E647" s="604" t="s">
        <v>243</v>
      </c>
      <c r="F647" s="575"/>
      <c r="G647" s="575"/>
      <c r="H647" s="536"/>
      <c r="I647" s="542"/>
      <c r="J647" s="543">
        <f ca="1">IFERROR(__xludf.DUMMYFUNCTION("IMPORTRANGE(""https://docs.google.com/spreadsheets/d/1IYY_tgx_IHuhSq3AJ5eI5OnqOPBNLWSHKh2a30DoXe8/edit?usp=sharing"",""ปัตตานี!J542"")"),0)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3">
      <c r="A648" s="525"/>
      <c r="B648" s="526"/>
      <c r="C648" s="526"/>
      <c r="D648" s="526"/>
      <c r="E648" s="526"/>
      <c r="F648" s="598" t="s">
        <v>244</v>
      </c>
      <c r="G648" s="575"/>
      <c r="H648" s="529" t="s">
        <v>122</v>
      </c>
      <c r="I648" s="546">
        <f ca="1">IFERROR(__xludf.DUMMYFUNCTION("IMPORTRANGE(""https://docs.google.com/spreadsheets/d/1IYY_tgx_IHuhSq3AJ5eI5OnqOPBNLWSHKh2a30DoXe8/edit?usp=sharing"",""ปัตตานี!I543"")"),0)</f>
        <v>0</v>
      </c>
      <c r="J648" s="547">
        <f ca="1">IFERROR(__xludf.DUMMYFUNCTION("IMPORTRANGE(""https://docs.google.com/spreadsheets/d/1IYY_tgx_IHuhSq3AJ5eI5OnqOPBNLWSHKh2a30DoXe8/edit?usp=sharing"",""ปัตตานี!J543"")"),0)</f>
        <v>0</v>
      </c>
      <c r="K648" s="548">
        <f t="shared" ref="K648:K651" ca="1" si="131">IF(I648&gt;0,J648*100/I648,0)</f>
        <v>0</v>
      </c>
      <c r="L648" s="535">
        <f ca="1">IFERROR(__xludf.DUMMYFUNCTION("IMPORTRANGE(""https://docs.google.com/spreadsheets/d/1IYY_tgx_IHuhSq3AJ5eI5OnqOPBNLWSHKh2a30DoXe8/edit?usp=sharing"",""ปัตตานี!L543"")"),0)</f>
        <v>0</v>
      </c>
      <c r="M648" s="534"/>
      <c r="N648" s="549">
        <f ca="1">IFERROR(__xludf.DUMMYFUNCTION("IMPORTRANGE(""https://docs.google.com/spreadsheets/d/1IYY_tgx_IHuhSq3AJ5eI5OnqOPBNLWSHKh2a30DoXe8/edit?usp=sharing"",""ปัตตานี!M543"")"),0)</f>
        <v>0</v>
      </c>
      <c r="O648" s="548">
        <f t="shared" ref="O648:O651" ca="1" si="132">IF(L648&gt;0,N648*100/L648,0)</f>
        <v>0</v>
      </c>
      <c r="P648" s="548"/>
    </row>
    <row r="649" spans="1:16" ht="21.75" customHeight="1" x14ac:dyDescent="0.3">
      <c r="A649" s="525"/>
      <c r="B649" s="526"/>
      <c r="C649" s="526"/>
      <c r="D649" s="526"/>
      <c r="E649" s="526"/>
      <c r="F649" s="598" t="s">
        <v>245</v>
      </c>
      <c r="G649" s="575"/>
      <c r="H649" s="529" t="s">
        <v>37</v>
      </c>
      <c r="I649" s="546">
        <f ca="1">IFERROR(__xludf.DUMMYFUNCTION("IMPORTRANGE(""https://docs.google.com/spreadsheets/d/1IYY_tgx_IHuhSq3AJ5eI5OnqOPBNLWSHKh2a30DoXe8/edit?usp=sharing"",""ปัตตานี!I544"")"),0)</f>
        <v>0</v>
      </c>
      <c r="J649" s="547">
        <f ca="1">IFERROR(__xludf.DUMMYFUNCTION("IMPORTRANGE(""https://docs.google.com/spreadsheets/d/1IYY_tgx_IHuhSq3AJ5eI5OnqOPBNLWSHKh2a30DoXe8/edit?usp=sharing"",""ปัตตานี!J544"")"),0)</f>
        <v>0</v>
      </c>
      <c r="K649" s="548">
        <f t="shared" ca="1" si="131"/>
        <v>0</v>
      </c>
      <c r="L649" s="535">
        <f ca="1">IFERROR(__xludf.DUMMYFUNCTION("IMPORTRANGE(""https://docs.google.com/spreadsheets/d/1IYY_tgx_IHuhSq3AJ5eI5OnqOPBNLWSHKh2a30DoXe8/edit?usp=sharing"",""ปัตตานี!L544"")"),0)</f>
        <v>0</v>
      </c>
      <c r="M649" s="534"/>
      <c r="N649" s="549">
        <f ca="1">IFERROR(__xludf.DUMMYFUNCTION("IMPORTRANGE(""https://docs.google.com/spreadsheets/d/1IYY_tgx_IHuhSq3AJ5eI5OnqOPBNLWSHKh2a30DoXe8/edit?usp=sharing"",""ปัตตานี!M544"")"),0)</f>
        <v>0</v>
      </c>
      <c r="O649" s="548">
        <f t="shared" ca="1" si="132"/>
        <v>0</v>
      </c>
      <c r="P649" s="548"/>
    </row>
    <row r="650" spans="1:16" ht="21.75" customHeight="1" x14ac:dyDescent="0.3">
      <c r="A650" s="525"/>
      <c r="B650" s="526"/>
      <c r="C650" s="526"/>
      <c r="D650" s="526"/>
      <c r="E650" s="526"/>
      <c r="F650" s="598" t="s">
        <v>246</v>
      </c>
      <c r="G650" s="575"/>
      <c r="H650" s="529" t="s">
        <v>122</v>
      </c>
      <c r="I650" s="546">
        <f ca="1">IFERROR(__xludf.DUMMYFUNCTION("IMPORTRANGE(""https://docs.google.com/spreadsheets/d/1IYY_tgx_IHuhSq3AJ5eI5OnqOPBNLWSHKh2a30DoXe8/edit?usp=sharing"",""ปัตตานี!I545"")"),0)</f>
        <v>0</v>
      </c>
      <c r="J650" s="547">
        <f ca="1">IFERROR(__xludf.DUMMYFUNCTION("IMPORTRANGE(""https://docs.google.com/spreadsheets/d/1IYY_tgx_IHuhSq3AJ5eI5OnqOPBNLWSHKh2a30DoXe8/edit?usp=sharing"",""ปัตตานี!J545"")"),0)</f>
        <v>0</v>
      </c>
      <c r="K650" s="548">
        <f t="shared" ca="1" si="131"/>
        <v>0</v>
      </c>
      <c r="L650" s="535">
        <f ca="1">IFERROR(__xludf.DUMMYFUNCTION("IMPORTRANGE(""https://docs.google.com/spreadsheets/d/1IYY_tgx_IHuhSq3AJ5eI5OnqOPBNLWSHKh2a30DoXe8/edit?usp=sharing"",""ปัตตานี!L545"")"),0)</f>
        <v>0</v>
      </c>
      <c r="M650" s="534"/>
      <c r="N650" s="549">
        <f ca="1">IFERROR(__xludf.DUMMYFUNCTION("IMPORTRANGE(""https://docs.google.com/spreadsheets/d/1IYY_tgx_IHuhSq3AJ5eI5OnqOPBNLWSHKh2a30DoXe8/edit?usp=sharing"",""ปัตตานี!M545"")"),0)</f>
        <v>0</v>
      </c>
      <c r="O650" s="548">
        <f t="shared" ca="1" si="132"/>
        <v>0</v>
      </c>
      <c r="P650" s="548"/>
    </row>
    <row r="651" spans="1:16" ht="21.75" customHeight="1" x14ac:dyDescent="0.3">
      <c r="A651" s="525"/>
      <c r="B651" s="526"/>
      <c r="C651" s="526"/>
      <c r="D651" s="526"/>
      <c r="E651" s="526"/>
      <c r="F651" s="598" t="s">
        <v>247</v>
      </c>
      <c r="G651" s="575"/>
      <c r="H651" s="529" t="s">
        <v>122</v>
      </c>
      <c r="I651" s="546">
        <f ca="1">IFERROR(__xludf.DUMMYFUNCTION("IMPORTRANGE(""https://docs.google.com/spreadsheets/d/1IYY_tgx_IHuhSq3AJ5eI5OnqOPBNLWSHKh2a30DoXe8/edit?usp=sharing"",""ปัตตานี!I546"")"),0)</f>
        <v>0</v>
      </c>
      <c r="J651" s="547">
        <f ca="1">J657+J660</f>
        <v>0</v>
      </c>
      <c r="K651" s="548">
        <f t="shared" ca="1" si="131"/>
        <v>0</v>
      </c>
      <c r="L651" s="535">
        <f ca="1">IFERROR(__xludf.DUMMYFUNCTION("IMPORTRANGE(""https://docs.google.com/spreadsheets/d/1IYY_tgx_IHuhSq3AJ5eI5OnqOPBNLWSHKh2a30DoXe8/edit?usp=sharing"",""ปัตตานี!L546"")"),0)</f>
        <v>0</v>
      </c>
      <c r="M651" s="534"/>
      <c r="N651" s="549">
        <f ca="1">IFERROR(__xludf.DUMMYFUNCTION("IMPORTRANGE(""https://docs.google.com/spreadsheets/d/1IYY_tgx_IHuhSq3AJ5eI5OnqOPBNLWSHKh2a30DoXe8/edit?usp=sharing"",""ปัตตานี!M546"")"),0)</f>
        <v>0</v>
      </c>
      <c r="O651" s="548">
        <f t="shared" ca="1" si="132"/>
        <v>0</v>
      </c>
      <c r="P651" s="548"/>
    </row>
    <row r="652" spans="1:16" ht="21.75" customHeight="1" x14ac:dyDescent="0.3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IFERROR(__xludf.DUMMYFUNCTION("IMPORTRANGE(""https://docs.google.com/spreadsheets/d/1IYY_tgx_IHuhSq3AJ5eI5OnqOPBNLWSHKh2a30DoXe8/edit?usp=sharing"",""ปัตตานี!J547"")"),0)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3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IFERROR(__xludf.DUMMYFUNCTION("IMPORTRANGE(""https://docs.google.com/spreadsheets/d/1IYY_tgx_IHuhSq3AJ5eI5OnqOPBNLWSHKh2a30DoXe8/edit?usp=sharing"",""ปัตตานี!J548"")"),0)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3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3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IFERROR(__xludf.DUMMYFUNCTION("IMPORTRANGE(""https://docs.google.com/spreadsheets/d/1IYY_tgx_IHuhSq3AJ5eI5OnqOPBNLWSHKh2a30DoXe8/edit?usp=sharing"",""ปัตตานี!J550"")"),0)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3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IFERROR(__xludf.DUMMYFUNCTION("IMPORTRANGE(""https://docs.google.com/spreadsheets/d/1IYY_tgx_IHuhSq3AJ5eI5OnqOPBNLWSHKh2a30DoXe8/edit?usp=sharing"",""ปัตตานี!J551"")"),0)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3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IFERROR(__xludf.DUMMYFUNCTION("IMPORTRANGE(""https://docs.google.com/spreadsheets/d/1IYY_tgx_IHuhSq3AJ5eI5OnqOPBNLWSHKh2a30DoXe8/edit?usp=sharing"",""ปัตตานี!J552"")"),0)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3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IFERROR(__xludf.DUMMYFUNCTION("IMPORTRANGE(""https://docs.google.com/spreadsheets/d/1IYY_tgx_IHuhSq3AJ5eI5OnqOPBNLWSHKh2a30DoXe8/edit?usp=sharing"",""ปัตตานี!J553"")"),0)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3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IFERROR(__xludf.DUMMYFUNCTION("IMPORTRANGE(""https://docs.google.com/spreadsheets/d/1IYY_tgx_IHuhSq3AJ5eI5OnqOPBNLWSHKh2a30DoXe8/edit?usp=sharing"",""ปัตตานี!J554"")"),0)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3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IFERROR(__xludf.DUMMYFUNCTION("IMPORTRANGE(""https://docs.google.com/spreadsheets/d/1IYY_tgx_IHuhSq3AJ5eI5OnqOPBNLWSHKh2a30DoXe8/edit?usp=sharing"",""ปัตตานี!J555"")"),0)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3">
      <c r="A661" s="525"/>
      <c r="B661" s="526"/>
      <c r="C661" s="526"/>
      <c r="D661" s="526"/>
      <c r="E661" s="526"/>
      <c r="F661" s="598" t="s">
        <v>252</v>
      </c>
      <c r="G661" s="575"/>
      <c r="H661" s="529" t="s">
        <v>37</v>
      </c>
      <c r="I661" s="550"/>
      <c r="J661" s="547">
        <f ca="1">IFERROR(__xludf.DUMMYFUNCTION("IMPORTRANGE(""https://docs.google.com/spreadsheets/d/1IYY_tgx_IHuhSq3AJ5eI5OnqOPBNLWSHKh2a30DoXe8/edit?usp=sharing"",""ปัตตานี!J556"")"),0)</f>
        <v>0</v>
      </c>
      <c r="K661" s="548"/>
      <c r="L661" s="535">
        <f ca="1">IFERROR(__xludf.DUMMYFUNCTION("IMPORTRANGE(""https://docs.google.com/spreadsheets/d/1IYY_tgx_IHuhSq3AJ5eI5OnqOPBNLWSHKh2a30DoXe8/edit?usp=sharing"",""ปัตตานี!L556"")"),0)</f>
        <v>0</v>
      </c>
      <c r="M661" s="534"/>
      <c r="N661" s="549">
        <f ca="1">IFERROR(__xludf.DUMMYFUNCTION("IMPORTRANGE(""https://docs.google.com/spreadsheets/d/1IYY_tgx_IHuhSq3AJ5eI5OnqOPBNLWSHKh2a30DoXe8/edit?usp=sharing"",""ปัตตานี!M556"")"),0)</f>
        <v>0</v>
      </c>
      <c r="O661" s="548">
        <f ca="1">IF(L661&gt;0,N661*100/L661,0)</f>
        <v>0</v>
      </c>
      <c r="P661" s="548"/>
    </row>
    <row r="662" spans="1:16" ht="21.75" customHeight="1" x14ac:dyDescent="0.3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IFERROR(__xludf.DUMMYFUNCTION("IMPORTRANGE(""https://docs.google.com/spreadsheets/d/1IYY_tgx_IHuhSq3AJ5eI5OnqOPBNLWSHKh2a30DoXe8/edit?usp=sharing"",""ปัตตานี!J557"")"),0)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3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IFERROR(__xludf.DUMMYFUNCTION("IMPORTRANGE(""https://docs.google.com/spreadsheets/d/1IYY_tgx_IHuhSq3AJ5eI5OnqOPBNLWSHKh2a30DoXe8/edit?usp=sharing"",""ปัตตานี!I558"")"),0)</f>
        <v>0</v>
      </c>
      <c r="J663" s="547">
        <f ca="1">IFERROR(__xludf.DUMMYFUNCTION("IMPORTRANGE(""https://docs.google.com/spreadsheets/d/1IYY_tgx_IHuhSq3AJ5eI5OnqOPBNLWSHKh2a30DoXe8/edit?usp=sharing"",""ปัตตานี!J558"")"),0)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3">
      <c r="A664" s="525"/>
      <c r="B664" s="526"/>
      <c r="C664" s="526"/>
      <c r="D664" s="526"/>
      <c r="E664" s="526"/>
      <c r="F664" s="598" t="s">
        <v>253</v>
      </c>
      <c r="G664" s="575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3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IFERROR(__xludf.DUMMYFUNCTION("IMPORTRANGE(""https://docs.google.com/spreadsheets/d/1IYY_tgx_IHuhSq3AJ5eI5OnqOPBNLWSHKh2a30DoXe8/edit?usp=sharing"",""ปัตตานี!I560"")"),0)</f>
        <v>0</v>
      </c>
      <c r="J665" s="547">
        <f ca="1">IFERROR(__xludf.DUMMYFUNCTION("IMPORTRANGE(""https://docs.google.com/spreadsheets/d/1IYY_tgx_IHuhSq3AJ5eI5OnqOPBNLWSHKh2a30DoXe8/edit?usp=sharing"",""ปัตตานี!J560"")"),0)</f>
        <v>0</v>
      </c>
      <c r="K665" s="548">
        <f ca="1">IF(I665&gt;0,J665*100/I665,0)</f>
        <v>0</v>
      </c>
      <c r="L665" s="535">
        <f ca="1">IFERROR(__xludf.DUMMYFUNCTION("IMPORTRANGE(""https://docs.google.com/spreadsheets/d/1IYY_tgx_IHuhSq3AJ5eI5OnqOPBNLWSHKh2a30DoXe8/edit?usp=sharing"",""ปัตตานี!L560"")"),0)</f>
        <v>0</v>
      </c>
      <c r="M665" s="534"/>
      <c r="N665" s="549">
        <f ca="1">IFERROR(__xludf.DUMMYFUNCTION("IMPORTRANGE(""https://docs.google.com/spreadsheets/d/1IYY_tgx_IHuhSq3AJ5eI5OnqOPBNLWSHKh2a30DoXe8/edit?usp=sharing"",""ปัตตานี!M560"")"),0)</f>
        <v>0</v>
      </c>
      <c r="O665" s="548">
        <f ca="1">IF(L665&gt;0,N665*100/L665,0)</f>
        <v>0</v>
      </c>
      <c r="P665" s="548"/>
    </row>
    <row r="666" spans="1:16" ht="21.75" customHeight="1" x14ac:dyDescent="0.3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IFERROR(__xludf.DUMMYFUNCTION("IMPORTRANGE(""https://docs.google.com/spreadsheets/d/1IYY_tgx_IHuhSq3AJ5eI5OnqOPBNLWSHKh2a30DoXe8/edit?usp=sharing"",""ปัตตานี!J561"")"),0)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3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IFERROR(__xludf.DUMMYFUNCTION("IMPORTRANGE(""https://docs.google.com/spreadsheets/d/1IYY_tgx_IHuhSq3AJ5eI5OnqOPBNLWSHKh2a30DoXe8/edit?usp=sharing"",""ปัตตานี!J562"")"),0)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3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IFERROR(__xludf.DUMMYFUNCTION("IMPORTRANGE(""https://docs.google.com/spreadsheets/d/1IYY_tgx_IHuhSq3AJ5eI5OnqOPBNLWSHKh2a30DoXe8/edit?usp=sharing"",""ปัตตานี!I563"")"),0)</f>
        <v>0</v>
      </c>
      <c r="J668" s="547">
        <f ca="1">IFERROR(__xludf.DUMMYFUNCTION("IMPORTRANGE(""https://docs.google.com/spreadsheets/d/1IYY_tgx_IHuhSq3AJ5eI5OnqOPBNLWSHKh2a30DoXe8/edit?usp=sharing"",""ปัตตานี!J563"")"),0)</f>
        <v>0</v>
      </c>
      <c r="K668" s="548">
        <f ca="1">IF(I668&gt;0,J668*100/I668,0)</f>
        <v>0</v>
      </c>
      <c r="L668" s="535">
        <f ca="1">IFERROR(__xludf.DUMMYFUNCTION("IMPORTRANGE(""https://docs.google.com/spreadsheets/d/1IYY_tgx_IHuhSq3AJ5eI5OnqOPBNLWSHKh2a30DoXe8/edit?usp=sharing"",""ปัตตานี!L563"")"),0)</f>
        <v>0</v>
      </c>
      <c r="M668" s="534"/>
      <c r="N668" s="549">
        <f ca="1">IFERROR(__xludf.DUMMYFUNCTION("IMPORTRANGE(""https://docs.google.com/spreadsheets/d/1IYY_tgx_IHuhSq3AJ5eI5OnqOPBNLWSHKh2a30DoXe8/edit?usp=sharing"",""ปัตตานี!M563"")"),0)</f>
        <v>0</v>
      </c>
      <c r="O668" s="548">
        <f ca="1">IF(L668&gt;0,N668*100/L668,0)</f>
        <v>0</v>
      </c>
      <c r="P668" s="548"/>
    </row>
    <row r="669" spans="1:16" ht="21.75" customHeight="1" x14ac:dyDescent="0.3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IFERROR(__xludf.DUMMYFUNCTION("IMPORTRANGE(""https://docs.google.com/spreadsheets/d/1IYY_tgx_IHuhSq3AJ5eI5OnqOPBNLWSHKh2a30DoXe8/edit?usp=sharing"",""ปัตตานี!J564"")"),0)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3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IFERROR(__xludf.DUMMYFUNCTION("IMPORTRANGE(""https://docs.google.com/spreadsheets/d/1IYY_tgx_IHuhSq3AJ5eI5OnqOPBNLWSHKh2a30DoXe8/edit?usp=sharing"",""ปัตตานี!J565"")"),0)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3">
      <c r="A671" s="525"/>
      <c r="B671" s="526"/>
      <c r="C671" s="526"/>
      <c r="D671" s="526"/>
      <c r="E671" s="526"/>
      <c r="F671" s="598" t="s">
        <v>256</v>
      </c>
      <c r="G671" s="575"/>
      <c r="H671" s="529" t="s">
        <v>122</v>
      </c>
      <c r="I671" s="546">
        <f ca="1">IFERROR(__xludf.DUMMYFUNCTION("IMPORTRANGE(""https://docs.google.com/spreadsheets/d/1IYY_tgx_IHuhSq3AJ5eI5OnqOPBNLWSHKh2a30DoXe8/edit?usp=sharing"",""ปัตตานี!I566"")"),0)</f>
        <v>0</v>
      </c>
      <c r="J671" s="547">
        <f ca="1">J674+J677</f>
        <v>0</v>
      </c>
      <c r="K671" s="548">
        <f ca="1">IF(I671&gt;0,J671*100/I671,0)</f>
        <v>0</v>
      </c>
      <c r="L671" s="535">
        <f ca="1">IFERROR(__xludf.DUMMYFUNCTION("IMPORTRANGE(""https://docs.google.com/spreadsheets/d/1IYY_tgx_IHuhSq3AJ5eI5OnqOPBNLWSHKh2a30DoXe8/edit?usp=sharing"",""ปัตตานี!L566"")"),0)</f>
        <v>0</v>
      </c>
      <c r="M671" s="534"/>
      <c r="N671" s="549">
        <f ca="1">IFERROR(__xludf.DUMMYFUNCTION("IMPORTRANGE(""https://docs.google.com/spreadsheets/d/1IYY_tgx_IHuhSq3AJ5eI5OnqOPBNLWSHKh2a30DoXe8/edit?usp=sharing"",""ปัตตานี!M566"")"),0)</f>
        <v>0</v>
      </c>
      <c r="O671" s="548">
        <f ca="1">IF(L671&gt;0,N671*100/L671,0)</f>
        <v>0</v>
      </c>
      <c r="P671" s="548"/>
    </row>
    <row r="672" spans="1:16" ht="21.75" customHeight="1" x14ac:dyDescent="0.3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IFERROR(__xludf.DUMMYFUNCTION("IMPORTRANGE(""https://docs.google.com/spreadsheets/d/1IYY_tgx_IHuhSq3AJ5eI5OnqOPBNLWSHKh2a30DoXe8/edit?usp=sharing"",""ปัตตานี!J567"")"),0)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3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IFERROR(__xludf.DUMMYFUNCTION("IMPORTRANGE(""https://docs.google.com/spreadsheets/d/1IYY_tgx_IHuhSq3AJ5eI5OnqOPBNLWSHKh2a30DoXe8/edit?usp=sharing"",""ปัตตานี!J568"")"),0)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3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IFERROR(__xludf.DUMMYFUNCTION("IMPORTRANGE(""https://docs.google.com/spreadsheets/d/1IYY_tgx_IHuhSq3AJ5eI5OnqOPBNLWSHKh2a30DoXe8/edit?usp=sharing"",""ปัตตานี!J569"")"),0)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3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IFERROR(__xludf.DUMMYFUNCTION("IMPORTRANGE(""https://docs.google.com/spreadsheets/d/1IYY_tgx_IHuhSq3AJ5eI5OnqOPBNLWSHKh2a30DoXe8/edit?usp=sharing"",""ปัตตานี!J570"")"),0)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3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IFERROR(__xludf.DUMMYFUNCTION("IMPORTRANGE(""https://docs.google.com/spreadsheets/d/1IYY_tgx_IHuhSq3AJ5eI5OnqOPBNLWSHKh2a30DoXe8/edit?usp=sharing"",""ปัตตานี!J571"")"),0)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3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IFERROR(__xludf.DUMMYFUNCTION("IMPORTRANGE(""https://docs.google.com/spreadsheets/d/1IYY_tgx_IHuhSq3AJ5eI5OnqOPBNLWSHKh2a30DoXe8/edit?usp=sharing"",""ปัตตานี!J572"")"),0)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2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2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2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2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2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2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2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2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2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2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2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2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2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2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2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2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2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2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2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2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2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2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2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2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2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2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2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2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2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2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2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2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2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2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2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2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2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2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2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2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2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2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2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2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2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2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2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2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2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2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2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2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2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2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2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2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2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2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2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2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2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2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2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2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2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2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2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2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2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2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2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2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2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2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2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2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2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2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2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2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2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2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2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2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2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2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2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2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2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2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2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2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2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2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2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2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2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2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2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2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2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2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2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2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2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2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2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2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2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2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2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2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2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2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2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2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2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2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2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2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2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2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2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2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2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2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2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2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2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2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2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2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2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2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2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2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2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2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2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2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2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2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2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2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2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2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2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2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2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2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2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2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2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2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2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2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2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2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2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2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2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2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2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2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2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2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2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2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2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2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2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2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2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2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2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2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2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2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2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2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2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2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2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2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2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2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2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2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2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2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2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2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2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2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2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2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2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2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2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2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2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2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2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2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2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2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2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2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2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2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2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2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2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2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2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2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2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2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2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2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2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2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2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2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2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2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2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2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2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2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2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2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2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2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2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2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2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2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2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2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2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2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2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2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2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2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2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2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2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2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2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2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2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2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2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2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2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2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2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2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2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2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2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2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2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2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2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2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2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2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2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2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2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2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2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2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2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2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2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2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2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2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2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2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2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2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2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2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2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2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2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2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2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2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2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2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2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2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2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2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2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2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2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2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2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2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2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2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2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2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2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2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2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2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2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2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2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2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2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2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2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2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2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2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2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2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2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2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2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2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2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2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2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2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2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2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2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2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2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2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2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2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2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2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2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2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2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2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2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2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2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2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2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2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2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2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2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2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2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2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2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2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2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2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2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2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2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2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2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2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2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2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2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2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2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2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2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2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2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2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2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2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2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2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2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2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2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2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2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2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2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2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2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2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2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2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2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2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2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2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2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2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2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2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2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2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2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2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2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2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2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2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2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2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2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2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2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2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2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2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2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2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2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2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2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2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2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2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2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2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2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2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2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2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2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2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2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2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2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2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2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2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2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2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2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2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2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2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2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2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2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2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2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2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2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2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2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2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2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2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2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2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2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2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2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2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19685039370078741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32" max="16383" man="1"/>
    <brk id="62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86" t="s">
        <v>0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  <c r="N1" s="586"/>
      <c r="O1" s="586"/>
      <c r="P1" s="586"/>
    </row>
    <row r="2" spans="1:16" ht="18" customHeight="1" x14ac:dyDescent="0.25">
      <c r="A2" s="586" t="s">
        <v>273</v>
      </c>
      <c r="B2" s="586"/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86"/>
      <c r="P2" s="586"/>
    </row>
    <row r="3" spans="1:16" ht="18" customHeight="1" x14ac:dyDescent="0.25">
      <c r="A3" s="586" t="s">
        <v>290</v>
      </c>
      <c r="B3" s="586"/>
      <c r="C3" s="586"/>
      <c r="D3" s="586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  <c r="P3" s="586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2" t="s">
        <v>2</v>
      </c>
      <c r="B5" s="593"/>
      <c r="C5" s="593"/>
      <c r="D5" s="593"/>
      <c r="E5" s="593"/>
      <c r="F5" s="593"/>
      <c r="G5" s="594"/>
      <c r="H5" s="587" t="s">
        <v>3</v>
      </c>
      <c r="I5" s="589" t="s">
        <v>4</v>
      </c>
      <c r="J5" s="580"/>
      <c r="K5" s="581"/>
      <c r="L5" s="590" t="s">
        <v>5</v>
      </c>
      <c r="M5" s="581"/>
      <c r="N5" s="591" t="s">
        <v>6</v>
      </c>
      <c r="O5" s="580"/>
      <c r="P5" s="581"/>
    </row>
    <row r="6" spans="1:16" ht="21.75" customHeight="1" x14ac:dyDescent="0.25">
      <c r="A6" s="595"/>
      <c r="B6" s="596"/>
      <c r="C6" s="596"/>
      <c r="D6" s="596"/>
      <c r="E6" s="596"/>
      <c r="F6" s="596"/>
      <c r="G6" s="597"/>
      <c r="H6" s="58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5" t="s">
        <v>15</v>
      </c>
      <c r="B7" s="580"/>
      <c r="C7" s="580"/>
      <c r="D7" s="580"/>
      <c r="E7" s="580"/>
      <c r="F7" s="580"/>
      <c r="G7" s="58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4" t="s">
        <v>17</v>
      </c>
      <c r="E8" s="573"/>
      <c r="F8" s="573"/>
      <c r="G8" s="573"/>
      <c r="H8" s="20" t="s">
        <v>12</v>
      </c>
      <c r="I8" s="21"/>
      <c r="J8" s="21"/>
      <c r="K8" s="22"/>
      <c r="L8" s="23">
        <f t="shared" ref="L8:N8" ca="1" si="0">L9+L10</f>
        <v>3491370</v>
      </c>
      <c r="M8" s="23">
        <f t="shared" ca="1" si="0"/>
        <v>2314198</v>
      </c>
      <c r="N8" s="23">
        <f t="shared" ca="1" si="0"/>
        <v>2741646.7800000003</v>
      </c>
      <c r="O8" s="22">
        <f t="shared" ref="O8:O16" ca="1" si="1">IF(L8&gt;0,N8*100/L8,0)</f>
        <v>78.526388781481188</v>
      </c>
      <c r="P8" s="22">
        <f t="shared" ref="P8:P16" ca="1" si="2">IF(M8&gt;0,N8*100/M8,0)</f>
        <v>118.47070907502297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3491370</v>
      </c>
      <c r="M10" s="30">
        <f t="shared" ca="1" si="4"/>
        <v>2314198</v>
      </c>
      <c r="N10" s="30">
        <f t="shared" ca="1" si="4"/>
        <v>2741646.7800000003</v>
      </c>
      <c r="O10" s="29">
        <f t="shared" ca="1" si="1"/>
        <v>78.526388781481188</v>
      </c>
      <c r="P10" s="29">
        <f t="shared" ca="1" si="2"/>
        <v>118.47070907502297</v>
      </c>
    </row>
    <row r="11" spans="1:16" ht="21.75" customHeight="1" x14ac:dyDescent="0.3">
      <c r="A11" s="31"/>
      <c r="B11" s="32"/>
      <c r="C11" s="33" t="s">
        <v>16</v>
      </c>
      <c r="D11" s="574" t="s">
        <v>20</v>
      </c>
      <c r="E11" s="575"/>
      <c r="F11" s="57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3317170</v>
      </c>
      <c r="M12" s="38">
        <f t="shared" ca="1" si="6"/>
        <v>2139998</v>
      </c>
      <c r="N12" s="38">
        <f t="shared" ca="1" si="6"/>
        <v>2567446.7800000003</v>
      </c>
      <c r="O12" s="38">
        <f t="shared" ca="1" si="1"/>
        <v>77.398709743546462</v>
      </c>
      <c r="P12" s="38">
        <f t="shared" ca="1" si="2"/>
        <v>119.97426072360817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1772270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1544900</v>
      </c>
      <c r="M14" s="38">
        <f t="shared" si="8"/>
        <v>0</v>
      </c>
      <c r="N14" s="38">
        <f t="shared" ca="1" si="8"/>
        <v>838144</v>
      </c>
      <c r="O14" s="41">
        <f t="shared" ca="1" si="1"/>
        <v>54.252314065635318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4" t="s">
        <v>23</v>
      </c>
      <c r="E15" s="57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174200</v>
      </c>
      <c r="M16" s="38">
        <f t="shared" ca="1" si="10"/>
        <v>174200</v>
      </c>
      <c r="N16" s="38">
        <f t="shared" ca="1" si="10"/>
        <v>174200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85" t="s">
        <v>24</v>
      </c>
      <c r="B17" s="580"/>
      <c r="C17" s="580"/>
      <c r="D17" s="580"/>
      <c r="E17" s="580"/>
      <c r="F17" s="580"/>
      <c r="G17" s="58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4" t="s">
        <v>17</v>
      </c>
      <c r="E18" s="573"/>
      <c r="F18" s="573"/>
      <c r="G18" s="573"/>
      <c r="H18" s="20" t="s">
        <v>12</v>
      </c>
      <c r="I18" s="21"/>
      <c r="J18" s="21"/>
      <c r="K18" s="22"/>
      <c r="L18" s="23">
        <f t="shared" ref="L18:N18" ca="1" si="11">L19+L20</f>
        <v>2423548</v>
      </c>
      <c r="M18" s="23">
        <f t="shared" ca="1" si="11"/>
        <v>2314198</v>
      </c>
      <c r="N18" s="23">
        <f t="shared" ca="1" si="11"/>
        <v>1903502.78</v>
      </c>
      <c r="O18" s="22">
        <f t="shared" ref="O18:O20" ca="1" si="12">IF(L18&gt;0,N18*100/L18,0)</f>
        <v>78.541988027470467</v>
      </c>
      <c r="P18" s="22">
        <f t="shared" ref="P18:P26" ca="1" si="13">IF(M18&gt;0,N18*100/M18,0)</f>
        <v>82.253237622709904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2423548</v>
      </c>
      <c r="M20" s="30">
        <f t="shared" ca="1" si="15"/>
        <v>2314198</v>
      </c>
      <c r="N20" s="30">
        <f t="shared" ca="1" si="15"/>
        <v>1903502.78</v>
      </c>
      <c r="O20" s="29">
        <f t="shared" ca="1" si="12"/>
        <v>78.541988027470467</v>
      </c>
      <c r="P20" s="29">
        <f t="shared" ca="1" si="13"/>
        <v>82.253237622709904</v>
      </c>
    </row>
    <row r="21" spans="1:16" ht="21.75" customHeight="1" x14ac:dyDescent="0.3">
      <c r="A21" s="31"/>
      <c r="B21" s="32"/>
      <c r="C21" s="33" t="s">
        <v>16</v>
      </c>
      <c r="D21" s="574" t="s">
        <v>20</v>
      </c>
      <c r="E21" s="575"/>
      <c r="F21" s="575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2249348</v>
      </c>
      <c r="M22" s="42">
        <f t="shared" ca="1" si="18"/>
        <v>2139998</v>
      </c>
      <c r="N22" s="41">
        <f t="shared" ca="1" si="18"/>
        <v>1729302.78</v>
      </c>
      <c r="O22" s="41">
        <f t="shared" ca="1" si="17"/>
        <v>76.880179500904262</v>
      </c>
      <c r="P22" s="41">
        <f t="shared" ca="1" si="13"/>
        <v>80.80861664356695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1772270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477078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4" t="s">
        <v>23</v>
      </c>
      <c r="E25" s="575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174200</v>
      </c>
      <c r="M26" s="50">
        <f t="shared" ca="1" si="22"/>
        <v>174200</v>
      </c>
      <c r="N26" s="50">
        <f t="shared" ca="1" si="22"/>
        <v>174200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85" t="s">
        <v>25</v>
      </c>
      <c r="B27" s="580"/>
      <c r="C27" s="580"/>
      <c r="D27" s="580"/>
      <c r="E27" s="580"/>
      <c r="F27" s="580"/>
      <c r="G27" s="58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4" t="s">
        <v>17</v>
      </c>
      <c r="E28" s="573"/>
      <c r="F28" s="573"/>
      <c r="G28" s="573"/>
      <c r="H28" s="20" t="s">
        <v>12</v>
      </c>
      <c r="I28" s="21"/>
      <c r="J28" s="21"/>
      <c r="K28" s="22"/>
      <c r="L28" s="23">
        <f t="shared" ref="L28:N28" ca="1" si="23">L29+L30</f>
        <v>1067822</v>
      </c>
      <c r="M28" s="23">
        <f t="shared" si="23"/>
        <v>0</v>
      </c>
      <c r="N28" s="23">
        <f t="shared" ca="1" si="23"/>
        <v>838144</v>
      </c>
      <c r="O28" s="22">
        <f t="shared" ref="O28:O30" ca="1" si="24">IF(L28&gt;0,N28*100/L28,0)</f>
        <v>78.490984452464929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1067822</v>
      </c>
      <c r="M30" s="30">
        <f t="shared" si="27"/>
        <v>0</v>
      </c>
      <c r="N30" s="30">
        <f t="shared" ca="1" si="27"/>
        <v>838144</v>
      </c>
      <c r="O30" s="29">
        <f t="shared" ca="1" si="24"/>
        <v>78.490984452464929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4" t="s">
        <v>20</v>
      </c>
      <c r="E31" s="575"/>
      <c r="F31" s="575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1067822</v>
      </c>
      <c r="M32" s="41">
        <f t="shared" si="30"/>
        <v>0</v>
      </c>
      <c r="N32" s="41">
        <f t="shared" ca="1" si="30"/>
        <v>838144</v>
      </c>
      <c r="O32" s="41">
        <f t="shared" ca="1" si="29"/>
        <v>78.490984452464929</v>
      </c>
      <c r="P32" s="41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1067822</v>
      </c>
      <c r="M34" s="41">
        <f t="shared" si="32"/>
        <v>0</v>
      </c>
      <c r="N34" s="41">
        <f t="shared" ca="1" si="32"/>
        <v>838144</v>
      </c>
      <c r="O34" s="41">
        <f t="shared" ca="1" si="29"/>
        <v>78.490984452464929</v>
      </c>
      <c r="P34" s="41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4" t="s">
        <v>23</v>
      </c>
      <c r="E35" s="575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2423548</v>
      </c>
      <c r="M37" s="55">
        <f t="shared" ca="1" si="33"/>
        <v>2314198</v>
      </c>
      <c r="N37" s="55">
        <f t="shared" ca="1" si="33"/>
        <v>1903502.78</v>
      </c>
      <c r="O37" s="56">
        <f t="shared" ca="1" si="29"/>
        <v>78.541988027470467</v>
      </c>
      <c r="P37" s="56">
        <f t="shared" ca="1" si="25"/>
        <v>82.253237622709904</v>
      </c>
    </row>
    <row r="38" spans="1:16" ht="21.75" customHeight="1" x14ac:dyDescent="0.3">
      <c r="A38" s="579" t="s">
        <v>27</v>
      </c>
      <c r="B38" s="580"/>
      <c r="C38" s="580"/>
      <c r="D38" s="580"/>
      <c r="E38" s="580"/>
      <c r="F38" s="580"/>
      <c r="G38" s="581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82" t="s">
        <v>28</v>
      </c>
      <c r="C39" s="573"/>
      <c r="D39" s="573"/>
      <c r="E39" s="573"/>
      <c r="F39" s="573"/>
      <c r="G39" s="573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83" t="s">
        <v>17</v>
      </c>
      <c r="E41" s="575"/>
      <c r="F41" s="575"/>
      <c r="G41" s="575"/>
      <c r="H41" s="76" t="s">
        <v>12</v>
      </c>
      <c r="I41" s="77"/>
      <c r="J41" s="77"/>
      <c r="K41" s="78"/>
      <c r="L41" s="79">
        <f t="shared" ref="L41:N41" ca="1" si="34">L42+L43</f>
        <v>942600</v>
      </c>
      <c r="M41" s="79">
        <f t="shared" ca="1" si="34"/>
        <v>942600</v>
      </c>
      <c r="N41" s="79">
        <f t="shared" ca="1" si="34"/>
        <v>889527.27</v>
      </c>
      <c r="O41" s="78">
        <f t="shared" ref="O41:O43" ca="1" si="35">IF(L41&gt;0,N41*100/L41,0)</f>
        <v>94.369538510502863</v>
      </c>
      <c r="P41" s="78">
        <f t="shared" ref="P41:P43" ca="1" si="36">IF(M41&gt;0,N41*100/M41,0)</f>
        <v>94.369538510502863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942600</v>
      </c>
      <c r="M43" s="79">
        <f t="shared" ca="1" si="38"/>
        <v>942600</v>
      </c>
      <c r="N43" s="79">
        <f t="shared" ca="1" si="38"/>
        <v>889527.27</v>
      </c>
      <c r="O43" s="78">
        <f t="shared" ca="1" si="35"/>
        <v>94.369538510502863</v>
      </c>
      <c r="P43" s="78">
        <f t="shared" ca="1" si="36"/>
        <v>94.369538510502863</v>
      </c>
    </row>
    <row r="44" spans="1:16" ht="21.75" customHeight="1" x14ac:dyDescent="0.3">
      <c r="A44" s="80"/>
      <c r="B44" s="81"/>
      <c r="C44" s="82" t="s">
        <v>16</v>
      </c>
      <c r="D44" s="576" t="s">
        <v>20</v>
      </c>
      <c r="E44" s="575"/>
      <c r="F44" s="575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942600</v>
      </c>
      <c r="M45" s="91">
        <f ca="1">IFERROR(__xludf.DUMMYFUNCTION("IMPORTRANGE(""https://docs.google.com/spreadsheets/d/1Yj_ptqi66GCucihVvJfMjLAmec39IyEx_6qawtMGysU/edit?usp=sharing"",""สบก!Q87"")"),942600)</f>
        <v>942600</v>
      </c>
      <c r="N45" s="91">
        <f ca="1">IFERROR(__xludf.DUMMYFUNCTION("IMPORTRANGE(""https://docs.google.com/spreadsheets/d/1Yj_ptqi66GCucihVvJfMjLAmec39IyEx_6qawtMGysU/edit?usp=sharing"",""สบก!R87"")"),889527.27)</f>
        <v>889527.27</v>
      </c>
      <c r="O45" s="92">
        <f ca="1">IF(L45&gt;0,N45*100/L45,0)</f>
        <v>94.369538510502863</v>
      </c>
      <c r="P45" s="92">
        <f ca="1">IF(M45&gt;0,N45*100/M45,0)</f>
        <v>94.369538510502863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IFERROR(__xludf.DUMMYFUNCTION("IMPORTRANGE(""https://docs.google.com/spreadsheets/d/1Yj_ptqi66GCucihVvJfMjLAmec39IyEx_6qawtMGysU/edit?usp=sharing"",""สบก!M87"")"),942600)</f>
        <v>942600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IFERROR(__xludf.DUMMYFUNCTION("IMPORTRANGE(""https://docs.google.com/spreadsheets/d/1Yj_ptqi66GCucihVvJfMjLAmec39IyEx_6qawtMGysU/edit?usp=sharing"",""สบก!N87"")"),0)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6" t="s">
        <v>23</v>
      </c>
      <c r="E48" s="57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IFERROR(__xludf.DUMMYFUNCTION("IMPORTRANGE(""https://docs.google.com/spreadsheets/d/1Yj_ptqi66GCucihVvJfMjLAmec39IyEx_6qawtMGysU/edit?usp=sharing"",""สบก!O87"")"),0)</f>
        <v>0</v>
      </c>
      <c r="M49" s="101"/>
      <c r="N49" s="91">
        <f ca="1">IFERROR(__xludf.DUMMYFUNCTION("IMPORTRANGE(""https://docs.google.com/spreadsheets/d/1Yj_ptqi66GCucihVvJfMjLAmec39IyEx_6qawtMGysU/edit?usp=sharing"",""สบก!S87"")"),0)</f>
        <v>0</v>
      </c>
      <c r="O49" s="101">
        <f ca="1">IF(L49&gt;0,N49*100/L49,0)</f>
        <v>0</v>
      </c>
      <c r="P49" s="101"/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577" t="s">
        <v>32</v>
      </c>
      <c r="C52" s="575"/>
      <c r="D52" s="575"/>
      <c r="E52" s="575"/>
      <c r="F52" s="575"/>
      <c r="G52" s="575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578" t="s">
        <v>17</v>
      </c>
      <c r="E53" s="575"/>
      <c r="F53" s="575"/>
      <c r="G53" s="575"/>
      <c r="H53" s="122" t="s">
        <v>12</v>
      </c>
      <c r="I53" s="123"/>
      <c r="J53" s="123"/>
      <c r="K53" s="124"/>
      <c r="L53" s="125">
        <f t="shared" ref="L53:N53" ca="1" si="39">L54+L55</f>
        <v>205670</v>
      </c>
      <c r="M53" s="125">
        <f t="shared" ca="1" si="39"/>
        <v>205670</v>
      </c>
      <c r="N53" s="125">
        <f t="shared" ca="1" si="39"/>
        <v>187480</v>
      </c>
      <c r="O53" s="124">
        <f t="shared" ref="O53:O55" ca="1" si="40">IF(L53&gt;0,N53*100/L53,0)</f>
        <v>91.15573491515535</v>
      </c>
      <c r="P53" s="124">
        <f t="shared" ref="P53:P55" ca="1" si="41">IF(M53&gt;0,N53*100/M53,0)</f>
        <v>91.15573491515535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205670</v>
      </c>
      <c r="M55" s="125">
        <f t="shared" ca="1" si="43"/>
        <v>205670</v>
      </c>
      <c r="N55" s="125">
        <f t="shared" ca="1" si="43"/>
        <v>187480</v>
      </c>
      <c r="O55" s="124">
        <f t="shared" ca="1" si="40"/>
        <v>91.15573491515535</v>
      </c>
      <c r="P55" s="124">
        <f t="shared" ca="1" si="41"/>
        <v>91.15573491515535</v>
      </c>
    </row>
    <row r="56" spans="1:16" ht="21.75" customHeight="1" x14ac:dyDescent="0.3">
      <c r="A56" s="80"/>
      <c r="B56" s="81"/>
      <c r="C56" s="82" t="s">
        <v>16</v>
      </c>
      <c r="D56" s="576" t="s">
        <v>20</v>
      </c>
      <c r="E56" s="575"/>
      <c r="F56" s="575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205670</v>
      </c>
      <c r="M57" s="91">
        <f ca="1">IFERROR(__xludf.DUMMYFUNCTION("IMPORTRANGE(""https://docs.google.com/spreadsheets/d/1Yj_ptqi66GCucihVvJfMjLAmec39IyEx_6qawtMGysU/edit?usp=sharing"",""สบก!Z87"")"),205670)</f>
        <v>205670</v>
      </c>
      <c r="N57" s="91">
        <f ca="1">IFERROR(__xludf.DUMMYFUNCTION("IMPORTRANGE(""https://docs.google.com/spreadsheets/d/1Yj_ptqi66GCucihVvJfMjLAmec39IyEx_6qawtMGysU/edit?usp=sharing"",""สบก!AA87"")"),187480)</f>
        <v>187480</v>
      </c>
      <c r="O57" s="92">
        <f ca="1">IF(L57&gt;0,N57*100/L57,0)</f>
        <v>91.15573491515535</v>
      </c>
      <c r="P57" s="92">
        <f ca="1">IF(M57&gt;0,N57*100/M57,0)</f>
        <v>91.15573491515535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IFERROR(__xludf.DUMMYFUNCTION("IMPORTRANGE(""https://docs.google.com/spreadsheets/d/1Yj_ptqi66GCucihVvJfMjLAmec39IyEx_6qawtMGysU/edit?usp=sharing"",""สบก!V87"")"),205670)</f>
        <v>205670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IFERROR(__xludf.DUMMYFUNCTION("IMPORTRANGE(""https://docs.google.com/spreadsheets/d/1Yj_ptqi66GCucihVvJfMjLAmec39IyEx_6qawtMGysU/edit?usp=sharing"",""สบก!W87"")"),0)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6" t="s">
        <v>23</v>
      </c>
      <c r="E60" s="57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IFERROR(__xludf.DUMMYFUNCTION("IMPORTRANGE(""https://docs.google.com/spreadsheets/d/1Yj_ptqi66GCucihVvJfMjLAmec39IyEx_6qawtMGysU/edit?usp=sharing"",""สบก!X87"")"),0)</f>
        <v>0</v>
      </c>
      <c r="M61" s="101"/>
      <c r="N61" s="91">
        <f ca="1">IFERROR(__xludf.DUMMYFUNCTION("IMPORTRANGE(""https://docs.google.com/spreadsheets/d/1Yj_ptqi66GCucihVvJfMjLAmec39IyEx_6qawtMGysU/edit?usp=sharing"",""สบก!AB87"")"),0)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IFERROR(__xludf.DUMMYFUNCTION("IMPORTRANGE(""https://docs.google.com/spreadsheets/d/1IYY_tgx_IHuhSq3AJ5eI5OnqOPBNLWSHKh2a30DoXe8/edit?usp=sharing"",""พังงา!I9"")"),0)</f>
        <v>0</v>
      </c>
      <c r="J64" s="146">
        <f ca="1">IFERROR(__xludf.DUMMYFUNCTION("IMPORTRANGE(""https://docs.google.com/spreadsheets/d/1IYY_tgx_IHuhSq3AJ5eI5OnqOPBNLWSHKh2a30DoXe8/edit?usp=sharing"",""พังงา!J9"")"),0)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IFERROR(__xludf.DUMMYFUNCTION("IMPORTRANGE(""https://docs.google.com/spreadsheets/d/1IYY_tgx_IHuhSq3AJ5eI5OnqOPBNLWSHKh2a30DoXe8/edit?usp=sharing"",""พังงา!I10"")"),0)</f>
        <v>0</v>
      </c>
      <c r="J65" s="146">
        <f ca="1">IFERROR(__xludf.DUMMYFUNCTION("IMPORTRANGE(""https://docs.google.com/spreadsheets/d/1IYY_tgx_IHuhSq3AJ5eI5OnqOPBNLWSHKh2a30DoXe8/edit?usp=sharing"",""พังงา!J10"")"),0)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2" t="s">
        <v>17</v>
      </c>
      <c r="E66" s="573"/>
      <c r="F66" s="573"/>
      <c r="G66" s="573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3">
      <c r="A69" s="162"/>
      <c r="B69" s="163"/>
      <c r="C69" s="163" t="s">
        <v>16</v>
      </c>
      <c r="D69" s="574" t="s">
        <v>20</v>
      </c>
      <c r="E69" s="575"/>
      <c r="F69" s="575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IFERROR(__xludf.DUMMYFUNCTION("IMPORTRANGE(""https://docs.google.com/spreadsheets/d/1Yj_ptqi66GCucihVvJfMjLAmec39IyEx_6qawtMGysU/edit?usp=sharing"",""สบก!AI87"")"),0)</f>
        <v>0</v>
      </c>
      <c r="N70" s="174">
        <f ca="1">IFERROR(__xludf.DUMMYFUNCTION("IMPORTRANGE(""https://docs.google.com/spreadsheets/d/1Yj_ptqi66GCucihVvJfMjLAmec39IyEx_6qawtMGysU/edit?usp=sharing"",""สบก!AJ87"")"),0)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IFERROR(__xludf.DUMMYFUNCTION("IMPORTRANGE(""https://docs.google.com/spreadsheets/d/1Yj_ptqi66GCucihVvJfMjLAmec39IyEx_6qawtMGysU/edit?usp=sharing"",""สบก!AE87"")"),0)</f>
        <v>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IFERROR(__xludf.DUMMYFUNCTION("IMPORTRANGE(""https://docs.google.com/spreadsheets/d/1Yj_ptqi66GCucihVvJfMjLAmec39IyEx_6qawtMGysU/edit?usp=sharing"",""สบก!AF87"")"),0)</f>
        <v>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6" t="s">
        <v>23</v>
      </c>
      <c r="E73" s="575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IFERROR(__xludf.DUMMYFUNCTION("IMPORTRANGE(""https://docs.google.com/spreadsheets/d/1Yj_ptqi66GCucihVvJfMjLAmec39IyEx_6qawtMGysU/edit?usp=sharing"",""สบก!AG87"")"),0)</f>
        <v>0</v>
      </c>
      <c r="M74" s="101"/>
      <c r="N74" s="91">
        <f ca="1">IFERROR(__xludf.DUMMYFUNCTION("IMPORTRANGE(""https://docs.google.com/spreadsheets/d/1Yj_ptqi66GCucihVvJfMjLAmec39IyEx_6qawtMGysU/edit?usp=sharing"",""สบก!AK87"")"),0)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IFERROR(__xludf.DUMMYFUNCTION("IMPORTRANGE(""https://docs.google.com/spreadsheets/d/1IYY_tgx_IHuhSq3AJ5eI5OnqOPBNLWSHKh2a30DoXe8/edit?usp=sharing"",""พังงา!J16"")"),0)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IFERROR(__xludf.DUMMYFUNCTION("IMPORTRANGE(""https://docs.google.com/spreadsheets/d/1IYY_tgx_IHuhSq3AJ5eI5OnqOPBNLWSHKh2a30DoXe8/edit?usp=sharing"",""พังงา!J17"")"),0)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IFERROR(__xludf.DUMMYFUNCTION("IMPORTRANGE(""https://docs.google.com/spreadsheets/d/1IYY_tgx_IHuhSq3AJ5eI5OnqOPBNLWSHKh2a30DoXe8/edit?usp=sharing"",""พังงา!J18"")"),0)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IFERROR(__xludf.DUMMYFUNCTION("IMPORTRANGE(""https://docs.google.com/spreadsheets/d/1IYY_tgx_IHuhSq3AJ5eI5OnqOPBNLWSHKh2a30DoXe8/edit?usp=sharing"",""พังงา!J19"")"),0)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IFERROR(__xludf.DUMMYFUNCTION("IMPORTRANGE(""https://docs.google.com/spreadsheets/d/1IYY_tgx_IHuhSq3AJ5eI5OnqOPBNLWSHKh2a30DoXe8/edit?usp=sharing"",""พังงา!I20"")"),0)</f>
        <v>0</v>
      </c>
      <c r="J80" s="207">
        <f ca="1">IFERROR(__xludf.DUMMYFUNCTION("IMPORTRANGE(""https://docs.google.com/spreadsheets/d/1IYY_tgx_IHuhSq3AJ5eI5OnqOPBNLWSHKh2a30DoXe8/edit?usp=sharing"",""พังงา!J20"")"),0)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IFERROR(__xludf.DUMMYFUNCTION("IMPORTRANGE(""https://docs.google.com/spreadsheets/d/1IYY_tgx_IHuhSq3AJ5eI5OnqOPBNLWSHKh2a30DoXe8/edit?usp=sharing"",""พังงา!I21"")"),0)</f>
        <v>0</v>
      </c>
      <c r="J81" s="207">
        <f ca="1">IFERROR(__xludf.DUMMYFUNCTION("IMPORTRANGE(""https://docs.google.com/spreadsheets/d/1IYY_tgx_IHuhSq3AJ5eI5OnqOPBNLWSHKh2a30DoXe8/edit?usp=sharing"",""พังงา!J21"")"),0)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IFERROR(__xludf.DUMMYFUNCTION("IMPORTRANGE(""https://docs.google.com/spreadsheets/d/1IYY_tgx_IHuhSq3AJ5eI5OnqOPBNLWSHKh2a30DoXe8/edit?usp=sharing"",""พังงา!I22"")"),0)</f>
        <v>0</v>
      </c>
      <c r="J82" s="210">
        <f ca="1">IFERROR(__xludf.DUMMYFUNCTION("IMPORTRANGE(""https://docs.google.com/spreadsheets/d/1IYY_tgx_IHuhSq3AJ5eI5OnqOPBNLWSHKh2a30DoXe8/edit?usp=sharing"",""พังงา!J22"")"),0)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IFERROR(__xludf.DUMMYFUNCTION("IMPORTRANGE(""https://docs.google.com/spreadsheets/d/1IYY_tgx_IHuhSq3AJ5eI5OnqOPBNLWSHKh2a30DoXe8/edit?usp=sharing"",""พังงา!I23"")"),0)</f>
        <v>0</v>
      </c>
      <c r="J83" s="210">
        <f ca="1">IFERROR(__xludf.DUMMYFUNCTION("IMPORTRANGE(""https://docs.google.com/spreadsheets/d/1IYY_tgx_IHuhSq3AJ5eI5OnqOPBNLWSHKh2a30DoXe8/edit?usp=sharing"",""พังงา!J23"")"),0)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IFERROR(__xludf.DUMMYFUNCTION("IMPORTRANGE(""https://docs.google.com/spreadsheets/d/1IYY_tgx_IHuhSq3AJ5eI5OnqOPBNLWSHKh2a30DoXe8/edit?usp=sharing"",""พังงา!I24"")"),0)</f>
        <v>0</v>
      </c>
      <c r="J84" s="195">
        <f ca="1">IFERROR(__xludf.DUMMYFUNCTION("IMPORTRANGE(""https://docs.google.com/spreadsheets/d/1IYY_tgx_IHuhSq3AJ5eI5OnqOPBNLWSHKh2a30DoXe8/edit?usp=sharing"",""พังงา!J24"")"),0)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IFERROR(__xludf.DUMMYFUNCTION("IMPORTRANGE(""https://docs.google.com/spreadsheets/d/1IYY_tgx_IHuhSq3AJ5eI5OnqOPBNLWSHKh2a30DoXe8/edit?usp=sharing"",""พังงา!I25"")"),0)</f>
        <v>0</v>
      </c>
      <c r="J85" s="195">
        <f ca="1">IFERROR(__xludf.DUMMYFUNCTION("IMPORTRANGE(""https://docs.google.com/spreadsheets/d/1IYY_tgx_IHuhSq3AJ5eI5OnqOPBNLWSHKh2a30DoXe8/edit?usp=sharing"",""พังงา!J25"")"),0)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IFERROR(__xludf.DUMMYFUNCTION("IMPORTRANGE(""https://docs.google.com/spreadsheets/d/1IYY_tgx_IHuhSq3AJ5eI5OnqOPBNLWSHKh2a30DoXe8/edit?usp=sharing"",""พังงา!I26"")"),0)</f>
        <v>0</v>
      </c>
      <c r="J86" s="210">
        <f ca="1">IFERROR(__xludf.DUMMYFUNCTION("IMPORTRANGE(""https://docs.google.com/spreadsheets/d/1IYY_tgx_IHuhSq3AJ5eI5OnqOPBNLWSHKh2a30DoXe8/edit?usp=sharing"",""พังงา!J26"")"),0)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IFERROR(__xludf.DUMMYFUNCTION("IMPORTRANGE(""https://docs.google.com/spreadsheets/d/1IYY_tgx_IHuhSq3AJ5eI5OnqOPBNLWSHKh2a30DoXe8/edit?usp=sharing"",""พังงา!I27"")"),0)</f>
        <v>0</v>
      </c>
      <c r="J87" s="210">
        <f ca="1">IFERROR(__xludf.DUMMYFUNCTION("IMPORTRANGE(""https://docs.google.com/spreadsheets/d/1IYY_tgx_IHuhSq3AJ5eI5OnqOPBNLWSHKh2a30DoXe8/edit?usp=sharing"",""พังงา!J27"")"),0)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IFERROR(__xludf.DUMMYFUNCTION("IMPORTRANGE(""https://docs.google.com/spreadsheets/d/1IYY_tgx_IHuhSq3AJ5eI5OnqOPBNLWSHKh2a30DoXe8/edit?usp=sharing"",""พังงา!I28"")"),0)</f>
        <v>0</v>
      </c>
      <c r="J88" s="210">
        <f ca="1">IFERROR(__xludf.DUMMYFUNCTION("IMPORTRANGE(""https://docs.google.com/spreadsheets/d/1IYY_tgx_IHuhSq3AJ5eI5OnqOPBNLWSHKh2a30DoXe8/edit?usp=sharing"",""พังงา!J28"")"),0)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IFERROR(__xludf.DUMMYFUNCTION("IMPORTRANGE(""https://docs.google.com/spreadsheets/d/1IYY_tgx_IHuhSq3AJ5eI5OnqOPBNLWSHKh2a30DoXe8/edit?usp=sharing"",""พังงา!J29"")"),0)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IFERROR(__xludf.DUMMYFUNCTION("IMPORTRANGE(""https://docs.google.com/spreadsheets/d/1IYY_tgx_IHuhSq3AJ5eI5OnqOPBNLWSHKh2a30DoXe8/edit?usp=sharing"",""พังงา!J30"")"),0)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IFERROR(__xludf.DUMMYFUNCTION("IMPORTRANGE(""https://docs.google.com/spreadsheets/d/1IYY_tgx_IHuhSq3AJ5eI5OnqOPBNLWSHKh2a30DoXe8/edit?usp=sharing"",""พังงา!I32"")"),0)</f>
        <v>0</v>
      </c>
      <c r="J92" s="146">
        <f ca="1">IFERROR(__xludf.DUMMYFUNCTION("IMPORTRANGE(""https://docs.google.com/spreadsheets/d/1IYY_tgx_IHuhSq3AJ5eI5OnqOPBNLWSHKh2a30DoXe8/edit?usp=sharing"",""พังงา!J32"")"),0)</f>
        <v>0</v>
      </c>
      <c r="K92" s="147">
        <f t="shared" ref="K92:K93" ca="1" si="51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IFERROR(__xludf.DUMMYFUNCTION("IMPORTRANGE(""https://docs.google.com/spreadsheets/d/1IYY_tgx_IHuhSq3AJ5eI5OnqOPBNLWSHKh2a30DoXe8/edit?usp=sharing"",""พังงา!I33"")"),0)</f>
        <v>0</v>
      </c>
      <c r="J93" s="146">
        <f ca="1">IFERROR(__xludf.DUMMYFUNCTION("IMPORTRANGE(""https://docs.google.com/spreadsheets/d/1IYY_tgx_IHuhSq3AJ5eI5OnqOPBNLWSHKh2a30DoXe8/edit?usp=sharing"",""พังงา!J33"")"),0)</f>
        <v>0</v>
      </c>
      <c r="K93" s="147">
        <f t="shared" ca="1" si="51"/>
        <v>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2" t="s">
        <v>17</v>
      </c>
      <c r="E94" s="573"/>
      <c r="F94" s="573"/>
      <c r="G94" s="573"/>
      <c r="H94" s="153" t="s">
        <v>12</v>
      </c>
      <c r="I94" s="166"/>
      <c r="J94" s="166"/>
      <c r="K94" s="167"/>
      <c r="L94" s="156">
        <f t="shared" ref="L94:N94" ca="1" si="52">L95+L96</f>
        <v>0</v>
      </c>
      <c r="M94" s="156">
        <f t="shared" ca="1" si="52"/>
        <v>0</v>
      </c>
      <c r="N94" s="156">
        <f t="shared" ca="1" si="52"/>
        <v>0</v>
      </c>
      <c r="O94" s="155">
        <f t="shared" ref="O94:O96" ca="1" si="53">IF(L94&gt;0,N94*100/L94,0)</f>
        <v>0</v>
      </c>
      <c r="P94" s="155">
        <f t="shared" ref="P94:P96" ca="1" si="54">IF(M94&gt;0,N94*100/M94,0)</f>
        <v>0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0</v>
      </c>
      <c r="M96" s="161">
        <f t="shared" ca="1" si="56"/>
        <v>0</v>
      </c>
      <c r="N96" s="161">
        <f t="shared" ca="1" si="56"/>
        <v>0</v>
      </c>
      <c r="O96" s="160">
        <f t="shared" ca="1" si="53"/>
        <v>0</v>
      </c>
      <c r="P96" s="160">
        <f t="shared" ca="1" si="54"/>
        <v>0</v>
      </c>
    </row>
    <row r="97" spans="1:16" ht="21.75" customHeight="1" x14ac:dyDescent="0.3">
      <c r="A97" s="162"/>
      <c r="B97" s="163"/>
      <c r="C97" s="163" t="s">
        <v>16</v>
      </c>
      <c r="D97" s="574" t="s">
        <v>20</v>
      </c>
      <c r="E97" s="575"/>
      <c r="F97" s="575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0</v>
      </c>
      <c r="M98" s="173">
        <f ca="1">IFERROR(__xludf.DUMMYFUNCTION("IMPORTRANGE(""https://docs.google.com/spreadsheets/d/1Yj_ptqi66GCucihVvJfMjLAmec39IyEx_6qawtMGysU/edit?usp=sharing"",""สบก!AR87"")"),0)</f>
        <v>0</v>
      </c>
      <c r="N98" s="174">
        <f ca="1">IFERROR(__xludf.DUMMYFUNCTION("IMPORTRANGE(""https://docs.google.com/spreadsheets/d/1Yj_ptqi66GCucihVvJfMjLAmec39IyEx_6qawtMGysU/edit?usp=sharing"",""สบก!AS87"")"),0)</f>
        <v>0</v>
      </c>
      <c r="O98" s="175">
        <f ca="1">IF(L98&gt;0,N98*100/L98,0)</f>
        <v>0</v>
      </c>
      <c r="P98" s="175">
        <f ca="1">IF(M98&gt;0,N98*100/M98,0)</f>
        <v>0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IFERROR(__xludf.DUMMYFUNCTION("IMPORTRANGE(""https://docs.google.com/spreadsheets/d/1Yj_ptqi66GCucihVvJfMjLAmec39IyEx_6qawtMGysU/edit?usp=sharing"",""สบก!AN87"")"),0)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IFERROR(__xludf.DUMMYFUNCTION("IMPORTRANGE(""https://docs.google.com/spreadsheets/d/1Yj_ptqi66GCucihVvJfMjLAmec39IyEx_6qawtMGysU/edit?usp=sharing"",""สบก!AO87"")"),0)</f>
        <v>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6" t="s">
        <v>23</v>
      </c>
      <c r="E101" s="575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IFERROR(__xludf.DUMMYFUNCTION("IMPORTRANGE(""https://docs.google.com/spreadsheets/d/1Yj_ptqi66GCucihVvJfMjLAmec39IyEx_6qawtMGysU/edit?usp=sharing"",""สบก!AP87"")"),0)</f>
        <v>0</v>
      </c>
      <c r="M102" s="101"/>
      <c r="N102" s="91">
        <f ca="1">IFERROR(__xludf.DUMMYFUNCTION("IMPORTRANGE(""https://docs.google.com/spreadsheets/d/1Yj_ptqi66GCucihVvJfMjLAmec39IyEx_6qawtMGysU/edit?usp=sharing"",""สบก!AT87"")"),0)</f>
        <v>0</v>
      </c>
      <c r="O102" s="101">
        <f ca="1">IF(L102&gt;0,N102*100/L102,0)</f>
        <v>0</v>
      </c>
      <c r="P102" s="101"/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IFERROR(__xludf.DUMMYFUNCTION("IMPORTRANGE(""https://docs.google.com/spreadsheets/d/1IYY_tgx_IHuhSq3AJ5eI5OnqOPBNLWSHKh2a30DoXe8/edit?usp=sharing"",""พังงา!J39"")"),0)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IFERROR(__xludf.DUMMYFUNCTION("IMPORTRANGE(""https://docs.google.com/spreadsheets/d/1IYY_tgx_IHuhSq3AJ5eI5OnqOPBNLWSHKh2a30DoXe8/edit?usp=sharing"",""พังงา!J40"")"),0)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IFERROR(__xludf.DUMMYFUNCTION("IMPORTRANGE(""https://docs.google.com/spreadsheets/d/1IYY_tgx_IHuhSq3AJ5eI5OnqOPBNLWSHKh2a30DoXe8/edit?usp=sharing"",""พังงา!J41"")"),0)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IFERROR(__xludf.DUMMYFUNCTION("IMPORTRANGE(""https://docs.google.com/spreadsheets/d/1IYY_tgx_IHuhSq3AJ5eI5OnqOPBNLWSHKh2a30DoXe8/edit?usp=sharing"",""พังงา!J42"")"),0)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IFERROR(__xludf.DUMMYFUNCTION("IMPORTRANGE(""https://docs.google.com/spreadsheets/d/1IYY_tgx_IHuhSq3AJ5eI5OnqOPBNLWSHKh2a30DoXe8/edit?usp=sharing"",""พังงา!I43"")"),0)</f>
        <v>0</v>
      </c>
      <c r="J108" s="210">
        <f ca="1">IFERROR(__xludf.DUMMYFUNCTION("IMPORTRANGE(""https://docs.google.com/spreadsheets/d/1IYY_tgx_IHuhSq3AJ5eI5OnqOPBNLWSHKh2a30DoXe8/edit?usp=sharing"",""พังงา!J43"")"),0)</f>
        <v>0</v>
      </c>
      <c r="K108" s="230">
        <f t="shared" ref="K108:K113" ca="1" si="57">IF(I108&gt;0,J108*100/I108,0)</f>
        <v>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IFERROR(__xludf.DUMMYFUNCTION("IMPORTRANGE(""https://docs.google.com/spreadsheets/d/1IYY_tgx_IHuhSq3AJ5eI5OnqOPBNLWSHKh2a30DoXe8/edit?usp=sharing"",""พังงา!I44"")"),0)</f>
        <v>0</v>
      </c>
      <c r="J109" s="210">
        <f ca="1">IFERROR(__xludf.DUMMYFUNCTION("IMPORTRANGE(""https://docs.google.com/spreadsheets/d/1IYY_tgx_IHuhSq3AJ5eI5OnqOPBNLWSHKh2a30DoXe8/edit?usp=sharing"",""พังงา!J44"")"),0)</f>
        <v>0</v>
      </c>
      <c r="K109" s="230">
        <f t="shared" ca="1" si="57"/>
        <v>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IFERROR(__xludf.DUMMYFUNCTION("IMPORTRANGE(""https://docs.google.com/spreadsheets/d/1IYY_tgx_IHuhSq3AJ5eI5OnqOPBNLWSHKh2a30DoXe8/edit?usp=sharing"",""พังงา!I45"")"),0)</f>
        <v>0</v>
      </c>
      <c r="J110" s="210">
        <f ca="1">IFERROR(__xludf.DUMMYFUNCTION("IMPORTRANGE(""https://docs.google.com/spreadsheets/d/1IYY_tgx_IHuhSq3AJ5eI5OnqOPBNLWSHKh2a30DoXe8/edit?usp=sharing"",""พังงา!J45"")"),0)</f>
        <v>0</v>
      </c>
      <c r="K110" s="230">
        <f t="shared" ca="1" si="57"/>
        <v>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IFERROR(__xludf.DUMMYFUNCTION("IMPORTRANGE(""https://docs.google.com/spreadsheets/d/1IYY_tgx_IHuhSq3AJ5eI5OnqOPBNLWSHKh2a30DoXe8/edit?usp=sharing"",""พังงา!I46"")"),0)</f>
        <v>0</v>
      </c>
      <c r="J111" s="210">
        <f ca="1">IFERROR(__xludf.DUMMYFUNCTION("IMPORTRANGE(""https://docs.google.com/spreadsheets/d/1IYY_tgx_IHuhSq3AJ5eI5OnqOPBNLWSHKh2a30DoXe8/edit?usp=sharing"",""พังงา!J46"")"),0)</f>
        <v>0</v>
      </c>
      <c r="K111" s="230">
        <f t="shared" ca="1" si="57"/>
        <v>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IFERROR(__xludf.DUMMYFUNCTION("IMPORTRANGE(""https://docs.google.com/spreadsheets/d/1IYY_tgx_IHuhSq3AJ5eI5OnqOPBNLWSHKh2a30DoXe8/edit?usp=sharing"",""พังงา!I47"")"),0)</f>
        <v>0</v>
      </c>
      <c r="J112" s="210">
        <f ca="1">IFERROR(__xludf.DUMMYFUNCTION("IMPORTRANGE(""https://docs.google.com/spreadsheets/d/1IYY_tgx_IHuhSq3AJ5eI5OnqOPBNLWSHKh2a30DoXe8/edit?usp=sharing"",""พังงา!J47"")"),0)</f>
        <v>0</v>
      </c>
      <c r="K112" s="230">
        <f t="shared" ca="1" si="57"/>
        <v>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IFERROR(__xludf.DUMMYFUNCTION("IMPORTRANGE(""https://docs.google.com/spreadsheets/d/1IYY_tgx_IHuhSq3AJ5eI5OnqOPBNLWSHKh2a30DoXe8/edit?usp=sharing"",""พังงา!I48"")"),0)</f>
        <v>0</v>
      </c>
      <c r="J113" s="210">
        <f ca="1">IFERROR(__xludf.DUMMYFUNCTION("IMPORTRANGE(""https://docs.google.com/spreadsheets/d/1IYY_tgx_IHuhSq3AJ5eI5OnqOPBNLWSHKh2a30DoXe8/edit?usp=sharing"",""พังงา!J48"")"),0)</f>
        <v>0</v>
      </c>
      <c r="K113" s="230">
        <f t="shared" ca="1" si="57"/>
        <v>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IFERROR(__xludf.DUMMYFUNCTION("IMPORTRANGE(""https://docs.google.com/spreadsheets/d/1IYY_tgx_IHuhSq3AJ5eI5OnqOPBNLWSHKh2a30DoXe8/edit?usp=sharing"",""พังงา!J49"")"),0)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IFERROR(__xludf.DUMMYFUNCTION("IMPORTRANGE(""https://docs.google.com/spreadsheets/d/1IYY_tgx_IHuhSq3AJ5eI5OnqOPBNLWSHKh2a30DoXe8/edit?usp=sharing"",""พังงา!J50"")"),0)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IFERROR(__xludf.DUMMYFUNCTION("IMPORTRANGE(""https://docs.google.com/spreadsheets/d/1IYY_tgx_IHuhSq3AJ5eI5OnqOPBNLWSHKh2a30DoXe8/edit?usp=sharing"",""พังงา!I52"")"),15)</f>
        <v>15</v>
      </c>
      <c r="J117" s="146">
        <f ca="1">IFERROR(__xludf.DUMMYFUNCTION("IMPORTRANGE(""https://docs.google.com/spreadsheets/d/1IYY_tgx_IHuhSq3AJ5eI5OnqOPBNLWSHKh2a30DoXe8/edit?usp=sharing"",""พังงา!J52"")"),15)</f>
        <v>15</v>
      </c>
      <c r="K117" s="147">
        <f ca="1">IF(I117&gt;0,J117*100/I117,0)</f>
        <v>100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2" t="s">
        <v>17</v>
      </c>
      <c r="E118" s="573"/>
      <c r="F118" s="573"/>
      <c r="G118" s="573"/>
      <c r="H118" s="153" t="s">
        <v>12</v>
      </c>
      <c r="I118" s="166"/>
      <c r="J118" s="166"/>
      <c r="K118" s="167"/>
      <c r="L118" s="156">
        <f t="shared" ref="L118:N118" ca="1" si="58">L119+L120</f>
        <v>71790</v>
      </c>
      <c r="M118" s="156">
        <f t="shared" ca="1" si="58"/>
        <v>71790</v>
      </c>
      <c r="N118" s="156">
        <f t="shared" ca="1" si="58"/>
        <v>47880</v>
      </c>
      <c r="O118" s="155">
        <f t="shared" ref="O118:O120" ca="1" si="59">IF(L118&gt;0,N118*100/L118,0)</f>
        <v>66.694525699958206</v>
      </c>
      <c r="P118" s="155">
        <f t="shared" ref="P118:P120" ca="1" si="60">IF(M118&gt;0,N118*100/M118,0)</f>
        <v>66.694525699958206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71790</v>
      </c>
      <c r="M120" s="161">
        <f t="shared" ca="1" si="62"/>
        <v>71790</v>
      </c>
      <c r="N120" s="161">
        <f t="shared" ca="1" si="62"/>
        <v>47880</v>
      </c>
      <c r="O120" s="160">
        <f t="shared" ca="1" si="59"/>
        <v>66.694525699958206</v>
      </c>
      <c r="P120" s="160">
        <f t="shared" ca="1" si="60"/>
        <v>66.694525699958206</v>
      </c>
    </row>
    <row r="121" spans="1:16" ht="21.75" customHeight="1" x14ac:dyDescent="0.3">
      <c r="A121" s="162"/>
      <c r="B121" s="163"/>
      <c r="C121" s="163" t="s">
        <v>16</v>
      </c>
      <c r="D121" s="574" t="s">
        <v>20</v>
      </c>
      <c r="E121" s="575"/>
      <c r="F121" s="575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71790</v>
      </c>
      <c r="M122" s="173">
        <f ca="1">IFERROR(__xludf.DUMMYFUNCTION("IMPORTRANGE(""https://docs.google.com/spreadsheets/d/1Yj_ptqi66GCucihVvJfMjLAmec39IyEx_6qawtMGysU/edit?usp=sharing"",""สบก!BA87"")"),71790)</f>
        <v>71790</v>
      </c>
      <c r="N122" s="174">
        <f ca="1">IFERROR(__xludf.DUMMYFUNCTION("IMPORTRANGE(""https://docs.google.com/spreadsheets/d/1Yj_ptqi66GCucihVvJfMjLAmec39IyEx_6qawtMGysU/edit?usp=sharing"",""สบก!BB87"")"),47880)</f>
        <v>47880</v>
      </c>
      <c r="O122" s="175">
        <f ca="1">IF(L122&gt;0,N122*100/L122,0)</f>
        <v>66.694525699958206</v>
      </c>
      <c r="P122" s="175">
        <f ca="1">IF(M122&gt;0,N122*100/M122,0)</f>
        <v>66.694525699958206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IFERROR(__xludf.DUMMYFUNCTION("IMPORTRANGE(""https://docs.google.com/spreadsheets/d/1Yj_ptqi66GCucihVvJfMjLAmec39IyEx_6qawtMGysU/edit?usp=sharing"",""สบก!AW87"")"),0)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IFERROR(__xludf.DUMMYFUNCTION("IMPORTRANGE(""https://docs.google.com/spreadsheets/d/1Yj_ptqi66GCucihVvJfMjLAmec39IyEx_6qawtMGysU/edit?usp=sharing"",""สบก!AX87"")"),71790)</f>
        <v>71790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6" t="s">
        <v>23</v>
      </c>
      <c r="E125" s="575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IFERROR(__xludf.DUMMYFUNCTION("IMPORTRANGE(""https://docs.google.com/spreadsheets/d/1Yj_ptqi66GCucihVvJfMjLAmec39IyEx_6qawtMGysU/edit?usp=sharing"",""สบก!AY87"")"),0)</f>
        <v>0</v>
      </c>
      <c r="M126" s="101"/>
      <c r="N126" s="91">
        <f ca="1">IFERROR(__xludf.DUMMYFUNCTION("IMPORTRANGE(""https://docs.google.com/spreadsheets/d/1Yj_ptqi66GCucihVvJfMjLAmec39IyEx_6qawtMGysU/edit?usp=sharing"",""สบก!BC87"")"),0)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274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IFERROR(__xludf.DUMMYFUNCTION("IMPORTRANGE(""https://docs.google.com/spreadsheets/d/1IYY_tgx_IHuhSq3AJ5eI5OnqOPBNLWSHKh2a30DoXe8/edit?usp=sharing"",""พังงา!J58"")"),0)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IFERROR(__xludf.DUMMYFUNCTION("IMPORTRANGE(""https://docs.google.com/spreadsheets/d/1IYY_tgx_IHuhSq3AJ5eI5OnqOPBNLWSHKh2a30DoXe8/edit?usp=sharing"",""พังงา!J59"")"),1)</f>
        <v>1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IFERROR(__xludf.DUMMYFUNCTION("IMPORTRANGE(""https://docs.google.com/spreadsheets/d/1IYY_tgx_IHuhSq3AJ5eI5OnqOPBNLWSHKh2a30DoXe8/edit?usp=sharing"",""พังงา!J60"")"),1)</f>
        <v>1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IFERROR(__xludf.DUMMYFUNCTION("IMPORTRANGE(""https://docs.google.com/spreadsheets/d/1IYY_tgx_IHuhSq3AJ5eI5OnqOPBNLWSHKh2a30DoXe8/edit?usp=sharing"",""พังงา!J61"")"),1)</f>
        <v>1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IFERROR(__xludf.DUMMYFUNCTION("IMPORTRANGE(""https://docs.google.com/spreadsheets/d/1IYY_tgx_IHuhSq3AJ5eI5OnqOPBNLWSHKh2a30DoXe8/edit?usp=sharing"",""พังงา!I62"")"),15)</f>
        <v>15</v>
      </c>
      <c r="J132" s="210">
        <f ca="1">IFERROR(__xludf.DUMMYFUNCTION("IMPORTRANGE(""https://docs.google.com/spreadsheets/d/1IYY_tgx_IHuhSq3AJ5eI5OnqOPBNLWSHKh2a30DoXe8/edit?usp=sharing"",""พังงา!J62"")"),15)</f>
        <v>15</v>
      </c>
      <c r="K132" s="230">
        <f t="shared" ref="K132:K133" ca="1" si="63">IF(I132&gt;0,J132*100/I132,0)</f>
        <v>100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IFERROR(__xludf.DUMMYFUNCTION("IMPORTRANGE(""https://docs.google.com/spreadsheets/d/1IYY_tgx_IHuhSq3AJ5eI5OnqOPBNLWSHKh2a30DoXe8/edit?usp=sharing"",""พังงา!I63"")"),15)</f>
        <v>15</v>
      </c>
      <c r="J133" s="210">
        <f ca="1">IFERROR(__xludf.DUMMYFUNCTION("IMPORTRANGE(""https://docs.google.com/spreadsheets/d/1IYY_tgx_IHuhSq3AJ5eI5OnqOPBNLWSHKh2a30DoXe8/edit?usp=sharing"",""พังงา!J63"")"),15)</f>
        <v>15</v>
      </c>
      <c r="K133" s="230">
        <f t="shared" ca="1" si="63"/>
        <v>100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IFERROR(__xludf.DUMMYFUNCTION("IMPORTRANGE(""https://docs.google.com/spreadsheets/d/1IYY_tgx_IHuhSq3AJ5eI5OnqOPBNLWSHKh2a30DoXe8/edit?usp=sharing"",""พังงา!J64"")"),0)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IFERROR(__xludf.DUMMYFUNCTION("IMPORTRANGE(""https://docs.google.com/spreadsheets/d/1IYY_tgx_IHuhSq3AJ5eI5OnqOPBNLWSHKh2a30DoXe8/edit?usp=sharing"",""พังงา!J65"")"),0)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IFERROR(__xludf.DUMMYFUNCTION("IMPORTRANGE(""https://docs.google.com/spreadsheets/d/1IYY_tgx_IHuhSq3AJ5eI5OnqOPBNLWSHKh2a30DoXe8/edit?usp=sharing"",""พังงา!I68"")"),0)</f>
        <v>0</v>
      </c>
      <c r="J138" s="273">
        <f ca="1">IFERROR(__xludf.DUMMYFUNCTION("IMPORTRANGE(""https://docs.google.com/spreadsheets/d/1IYY_tgx_IHuhSq3AJ5eI5OnqOPBNLWSHKh2a30DoXe8/edit?usp=sharing"",""พังงา!J68"")"),0)</f>
        <v>0</v>
      </c>
      <c r="K138" s="274">
        <f ca="1">IF(I138&gt;0,J138*100/I138,0)</f>
        <v>0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2" t="s">
        <v>17</v>
      </c>
      <c r="E140" s="573"/>
      <c r="F140" s="573"/>
      <c r="G140" s="573"/>
      <c r="H140" s="153" t="s">
        <v>12</v>
      </c>
      <c r="I140" s="166"/>
      <c r="J140" s="166"/>
      <c r="K140" s="167"/>
      <c r="L140" s="156">
        <f t="shared" ref="L140:N140" ca="1" si="64">L141+L142</f>
        <v>77953</v>
      </c>
      <c r="M140" s="156">
        <f t="shared" ca="1" si="64"/>
        <v>77953</v>
      </c>
      <c r="N140" s="156">
        <f t="shared" ca="1" si="64"/>
        <v>73323</v>
      </c>
      <c r="O140" s="155">
        <f t="shared" ref="O140:O142" ca="1" si="65">IF(L140&gt;0,N140*100/L140,0)</f>
        <v>94.060523648865342</v>
      </c>
      <c r="P140" s="155">
        <f t="shared" ref="P140:P142" ca="1" si="66">IF(M140&gt;0,N140*100/M140,0)</f>
        <v>94.060523648865342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77953</v>
      </c>
      <c r="M142" s="161">
        <f t="shared" ca="1" si="68"/>
        <v>77953</v>
      </c>
      <c r="N142" s="161">
        <f t="shared" ca="1" si="68"/>
        <v>73323</v>
      </c>
      <c r="O142" s="160">
        <f t="shared" ca="1" si="65"/>
        <v>94.060523648865342</v>
      </c>
      <c r="P142" s="160">
        <f t="shared" ca="1" si="66"/>
        <v>94.060523648865342</v>
      </c>
    </row>
    <row r="143" spans="1:16" ht="21.75" customHeight="1" x14ac:dyDescent="0.3">
      <c r="A143" s="162"/>
      <c r="B143" s="163"/>
      <c r="C143" s="163" t="s">
        <v>16</v>
      </c>
      <c r="D143" s="574" t="s">
        <v>20</v>
      </c>
      <c r="E143" s="575"/>
      <c r="F143" s="575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77953</v>
      </c>
      <c r="M144" s="173">
        <f ca="1">IFERROR(__xludf.DUMMYFUNCTION("IMPORTRANGE(""https://docs.google.com/spreadsheets/d/1Yj_ptqi66GCucihVvJfMjLAmec39IyEx_6qawtMGysU/edit?usp=sharing"",""สบก!BJ87"")"),77953)</f>
        <v>77953</v>
      </c>
      <c r="N144" s="174">
        <f ca="1">IFERROR(__xludf.DUMMYFUNCTION("IMPORTRANGE(""https://docs.google.com/spreadsheets/d/1Yj_ptqi66GCucihVvJfMjLAmec39IyEx_6qawtMGysU/edit?usp=sharing"",""สบก!BK87"")"),73323)</f>
        <v>73323</v>
      </c>
      <c r="O144" s="175">
        <f ca="1">IF(L144&gt;0,N144*100/L144,0)</f>
        <v>94.060523648865342</v>
      </c>
      <c r="P144" s="175">
        <f ca="1">IF(M144&gt;0,N144*100/M144,0)</f>
        <v>94.060523648865342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IFERROR(__xludf.DUMMYFUNCTION("IMPORTRANGE(""https://docs.google.com/spreadsheets/d/1Yj_ptqi66GCucihVvJfMjLAmec39IyEx_6qawtMGysU/edit?usp=sharing"",""สบก!BF87"")"),0)</f>
        <v>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IFERROR(__xludf.DUMMYFUNCTION("IMPORTRANGE(""https://docs.google.com/spreadsheets/d/1Yj_ptqi66GCucihVvJfMjLAmec39IyEx_6qawtMGysU/edit?usp=sharing"",""สบก!BG87"")"),77953)</f>
        <v>77953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6" t="s">
        <v>23</v>
      </c>
      <c r="E147" s="575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IFERROR(__xludf.DUMMYFUNCTION("IMPORTRANGE(""https://docs.google.com/spreadsheets/d/1Yj_ptqi66GCucihVvJfMjLAmec39IyEx_6qawtMGysU/edit?usp=sharing"",""สบก!BH87"")"),0)</f>
        <v>0</v>
      </c>
      <c r="M148" s="101"/>
      <c r="N148" s="91">
        <f ca="1">IFERROR(__xludf.DUMMYFUNCTION("IMPORTRANGE(""https://docs.google.com/spreadsheets/d/1Yj_ptqi66GCucihVvJfMjLAmec39IyEx_6qawtMGysU/edit?usp=sharing"",""สบก!BL87"")"),0)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IFERROR(__xludf.DUMMYFUNCTION("IMPORTRANGE(""https://docs.google.com/spreadsheets/d/1IYY_tgx_IHuhSq3AJ5eI5OnqOPBNLWSHKh2a30DoXe8/edit?usp=sharing"",""พังงา!I74"")"),4)</f>
        <v>4</v>
      </c>
      <c r="J149" s="281">
        <f ca="1">IFERROR(__xludf.DUMMYFUNCTION("IMPORTRANGE(""https://docs.google.com/spreadsheets/d/1IYY_tgx_IHuhSq3AJ5eI5OnqOPBNLWSHKh2a30DoXe8/edit?usp=sharing"",""พังงา!J74"")"),3)</f>
        <v>3</v>
      </c>
      <c r="K149" s="282">
        <f ca="1">IF(I149&gt;0,J149*100/I149,0)</f>
        <v>75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IFERROR(__xludf.DUMMYFUNCTION("IMPORTRANGE(""https://docs.google.com/spreadsheets/d/1IYY_tgx_IHuhSq3AJ5eI5OnqOPBNLWSHKh2a30DoXe8/edit?usp=sharing"",""พังงา!J79"")"),0)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IFERROR(__xludf.DUMMYFUNCTION("IMPORTRANGE(""https://docs.google.com/spreadsheets/d/1IYY_tgx_IHuhSq3AJ5eI5OnqOPBNLWSHKh2a30DoXe8/edit?usp=sharing"",""พังงา!J80"")"),1)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IFERROR(__xludf.DUMMYFUNCTION("IMPORTRANGE(""https://docs.google.com/spreadsheets/d/1IYY_tgx_IHuhSq3AJ5eI5OnqOPBNLWSHKh2a30DoXe8/edit?usp=sharing"",""พังงา!J81"")"),1)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IFERROR(__xludf.DUMMYFUNCTION("IMPORTRANGE(""https://docs.google.com/spreadsheets/d/1IYY_tgx_IHuhSq3AJ5eI5OnqOPBNLWSHKh2a30DoXe8/edit?usp=sharing"",""พังงา!J82"")"),1)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IFERROR(__xludf.DUMMYFUNCTION("IMPORTRANGE(""https://docs.google.com/spreadsheets/d/1IYY_tgx_IHuhSq3AJ5eI5OnqOPBNLWSHKh2a30DoXe8/edit?usp=sharing"",""พังงา!I83"")"),4)</f>
        <v>4</v>
      </c>
      <c r="J158" s="195">
        <f ca="1">IFERROR(__xludf.DUMMYFUNCTION("IMPORTRANGE(""https://docs.google.com/spreadsheets/d/1IYY_tgx_IHuhSq3AJ5eI5OnqOPBNLWSHKh2a30DoXe8/edit?usp=sharing"",""พังงา!J83"")"),3)</f>
        <v>3</v>
      </c>
      <c r="K158" s="167">
        <f ca="1">IF(I158&gt;0,J158*100/I158,0)</f>
        <v>75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IFERROR(__xludf.DUMMYFUNCTION("IMPORTRANGE(""https://docs.google.com/spreadsheets/d/1IYY_tgx_IHuhSq3AJ5eI5OnqOPBNLWSHKh2a30DoXe8/edit?usp=sharing"",""พังงา!J84"")"),129)</f>
        <v>129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IFERROR(__xludf.DUMMYFUNCTION("IMPORTRANGE(""https://docs.google.com/spreadsheets/d/1IYY_tgx_IHuhSq3AJ5eI5OnqOPBNLWSHKh2a30DoXe8/edit?usp=sharing"",""พังงา!J85"")"),129)</f>
        <v>129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IFERROR(__xludf.DUMMYFUNCTION("IMPORTRANGE(""https://docs.google.com/spreadsheets/d/1IYY_tgx_IHuhSq3AJ5eI5OnqOPBNLWSHKh2a30DoXe8/edit?usp=sharing"",""พังงา!J86"")"),0)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IFERROR(__xludf.DUMMYFUNCTION("IMPORTRANGE(""https://docs.google.com/spreadsheets/d/1IYY_tgx_IHuhSq3AJ5eI5OnqOPBNLWSHKh2a30DoXe8/edit?usp=sharing"",""พังงา!J87"")"),0)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IFERROR(__xludf.DUMMYFUNCTION("IMPORTRANGE(""https://docs.google.com/spreadsheets/d/1IYY_tgx_IHuhSq3AJ5eI5OnqOPBNLWSHKh2a30DoXe8/edit?usp=sharing"",""พังงา!J88"")"),0)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IFERROR(__xludf.DUMMYFUNCTION("IMPORTRANGE(""https://docs.google.com/spreadsheets/d/1IYY_tgx_IHuhSq3AJ5eI5OnqOPBNLWSHKh2a30DoXe8/edit?usp=sharing"",""พังงา!I89"")"),4)</f>
        <v>4</v>
      </c>
      <c r="J164" s="290">
        <f ca="1">IFERROR(__xludf.DUMMYFUNCTION("IMPORTRANGE(""https://docs.google.com/spreadsheets/d/1IYY_tgx_IHuhSq3AJ5eI5OnqOPBNLWSHKh2a30DoXe8/edit?usp=sharing"",""พังงา!J89"")"),4)</f>
        <v>4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IFERROR(__xludf.DUMMYFUNCTION("IMPORTRANGE(""https://docs.google.com/spreadsheets/d/1IYY_tgx_IHuhSq3AJ5eI5OnqOPBNLWSHKh2a30DoXe8/edit?usp=sharing"",""พังงา!J94"")"),0)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IFERROR(__xludf.DUMMYFUNCTION("IMPORTRANGE(""https://docs.google.com/spreadsheets/d/1IYY_tgx_IHuhSq3AJ5eI5OnqOPBNLWSHKh2a30DoXe8/edit?usp=sharing"",""พังงา!J95"")"),1)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IFERROR(__xludf.DUMMYFUNCTION("IMPORTRANGE(""https://docs.google.com/spreadsheets/d/1IYY_tgx_IHuhSq3AJ5eI5OnqOPBNLWSHKh2a30DoXe8/edit?usp=sharing"",""พังงา!J96"")"),1)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IFERROR(__xludf.DUMMYFUNCTION("IMPORTRANGE(""https://docs.google.com/spreadsheets/d/1IYY_tgx_IHuhSq3AJ5eI5OnqOPBNLWSHKh2a30DoXe8/edit?usp=sharing"",""พังงา!J97"")"),1)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IFERROR(__xludf.DUMMYFUNCTION("IMPORTRANGE(""https://docs.google.com/spreadsheets/d/1IYY_tgx_IHuhSq3AJ5eI5OnqOPBNLWSHKh2a30DoXe8/edit?usp=sharing"",""พังงา!I98"")"),4)</f>
        <v>4</v>
      </c>
      <c r="J173" s="195">
        <f ca="1">IFERROR(__xludf.DUMMYFUNCTION("IMPORTRANGE(""https://docs.google.com/spreadsheets/d/1IYY_tgx_IHuhSq3AJ5eI5OnqOPBNLWSHKh2a30DoXe8/edit?usp=sharing"",""พังงา!J98"")"),4)</f>
        <v>4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IFERROR(__xludf.DUMMYFUNCTION("IMPORTRANGE(""https://docs.google.com/spreadsheets/d/1IYY_tgx_IHuhSq3AJ5eI5OnqOPBNLWSHKh2a30DoXe8/edit?usp=sharing"",""พังงา!J99"")"),0)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IFERROR(__xludf.DUMMYFUNCTION("IMPORTRANGE(""https://docs.google.com/spreadsheets/d/1IYY_tgx_IHuhSq3AJ5eI5OnqOPBNLWSHKh2a30DoXe8/edit?usp=sharing"",""พังงา!J100"")"),0)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IFERROR(__xludf.DUMMYFUNCTION("IMPORTRANGE(""https://docs.google.com/spreadsheets/d/1IYY_tgx_IHuhSq3AJ5eI5OnqOPBNLWSHKh2a30DoXe8/edit?usp=sharing"",""พังงา!I101"")"),0)</f>
        <v>0</v>
      </c>
      <c r="J176" s="290">
        <f ca="1">IFERROR(__xludf.DUMMYFUNCTION("IMPORTRANGE(""https://docs.google.com/spreadsheets/d/1IYY_tgx_IHuhSq3AJ5eI5OnqOPBNLWSHKh2a30DoXe8/edit?usp=sharing"",""พังงา!J101"")"),0)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IFERROR(__xludf.DUMMYFUNCTION("IMPORTRANGE(""https://docs.google.com/spreadsheets/d/1IYY_tgx_IHuhSq3AJ5eI5OnqOPBNLWSHKh2a30DoXe8/edit?usp=sharing"",""พังงา!J106"")"),0)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IFERROR(__xludf.DUMMYFUNCTION("IMPORTRANGE(""https://docs.google.com/spreadsheets/d/1IYY_tgx_IHuhSq3AJ5eI5OnqOPBNLWSHKh2a30DoXe8/edit?usp=sharing"",""พังงา!J107"")"),0)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IFERROR(__xludf.DUMMYFUNCTION("IMPORTRANGE(""https://docs.google.com/spreadsheets/d/1IYY_tgx_IHuhSq3AJ5eI5OnqOPBNLWSHKh2a30DoXe8/edit?usp=sharing"",""พังงา!J108"")"),0)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IFERROR(__xludf.DUMMYFUNCTION("IMPORTRANGE(""https://docs.google.com/spreadsheets/d/1IYY_tgx_IHuhSq3AJ5eI5OnqOPBNLWSHKh2a30DoXe8/edit?usp=sharing"",""พังงา!J109"")"),0)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IFERROR(__xludf.DUMMYFUNCTION("IMPORTRANGE(""https://docs.google.com/spreadsheets/d/1IYY_tgx_IHuhSq3AJ5eI5OnqOPBNLWSHKh2a30DoXe8/edit?usp=sharing"",""พังงา!I110"")"),0)</f>
        <v>0</v>
      </c>
      <c r="J185" s="210">
        <f ca="1">IFERROR(__xludf.DUMMYFUNCTION("IMPORTRANGE(""https://docs.google.com/spreadsheets/d/1IYY_tgx_IHuhSq3AJ5eI5OnqOPBNLWSHKh2a30DoXe8/edit?usp=sharing"",""พังงา!J110"")"),0)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IFERROR(__xludf.DUMMYFUNCTION("IMPORTRANGE(""https://docs.google.com/spreadsheets/d/1IYY_tgx_IHuhSq3AJ5eI5OnqOPBNLWSHKh2a30DoXe8/edit?usp=sharing"",""พังงา!I111"")"),0)</f>
        <v>0</v>
      </c>
      <c r="J186" s="210">
        <f ca="1">IFERROR(__xludf.DUMMYFUNCTION("IMPORTRANGE(""https://docs.google.com/spreadsheets/d/1IYY_tgx_IHuhSq3AJ5eI5OnqOPBNLWSHKh2a30DoXe8/edit?usp=sharing"",""พังงา!J111"")"),0)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IFERROR(__xludf.DUMMYFUNCTION("IMPORTRANGE(""https://docs.google.com/spreadsheets/d/1IYY_tgx_IHuhSq3AJ5eI5OnqOPBNLWSHKh2a30DoXe8/edit?usp=sharing"",""พังงา!J112"")"),0)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IFERROR(__xludf.DUMMYFUNCTION("IMPORTRANGE(""https://docs.google.com/spreadsheets/d/1IYY_tgx_IHuhSq3AJ5eI5OnqOPBNLWSHKh2a30DoXe8/edit?usp=sharing"",""พังงา!J113"")"),0)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IFERROR(__xludf.DUMMYFUNCTION("IMPORTRANGE(""https://docs.google.com/spreadsheets/d/1IYY_tgx_IHuhSq3AJ5eI5OnqOPBNLWSHKh2a30DoXe8/edit?usp=sharing"",""พังงา!I114"")"),20000)</f>
        <v>20000</v>
      </c>
      <c r="J189" s="290">
        <f ca="1">IFERROR(__xludf.DUMMYFUNCTION("IMPORTRANGE(""https://docs.google.com/spreadsheets/d/1IYY_tgx_IHuhSq3AJ5eI5OnqOPBNLWSHKh2a30DoXe8/edit?usp=sharing"",""พังงา!J114"")"),20000)</f>
        <v>20000</v>
      </c>
      <c r="K189" s="291">
        <f ca="1">IF(I189&gt;0,J189*100/I189,0)</f>
        <v>100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IFERROR(__xludf.DUMMYFUNCTION("IMPORTRANGE(""https://docs.google.com/spreadsheets/d/1IYY_tgx_IHuhSq3AJ5eI5OnqOPBNLWSHKh2a30DoXe8/edit?usp=sharing"",""พังงา!J119"")"),0)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IFERROR(__xludf.DUMMYFUNCTION("IMPORTRANGE(""https://docs.google.com/spreadsheets/d/1IYY_tgx_IHuhSq3AJ5eI5OnqOPBNLWSHKh2a30DoXe8/edit?usp=sharing"",""พังงา!J120"")"),1)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IFERROR(__xludf.DUMMYFUNCTION("IMPORTRANGE(""https://docs.google.com/spreadsheets/d/1IYY_tgx_IHuhSq3AJ5eI5OnqOPBNLWSHKh2a30DoXe8/edit?usp=sharing"",""พังงา!J121"")"),1)</f>
        <v>1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IFERROR(__xludf.DUMMYFUNCTION("IMPORTRANGE(""https://docs.google.com/spreadsheets/d/1IYY_tgx_IHuhSq3AJ5eI5OnqOPBNLWSHKh2a30DoXe8/edit?usp=sharing"",""พังงา!J122"")"),0)</f>
        <v>0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IFERROR(__xludf.DUMMYFUNCTION("IMPORTRANGE(""https://docs.google.com/spreadsheets/d/1IYY_tgx_IHuhSq3AJ5eI5OnqOPBNLWSHKh2a30DoXe8/edit?usp=sharing"",""พังงา!I124"")"),20000)</f>
        <v>20000</v>
      </c>
      <c r="J199" s="195">
        <f ca="1">IFERROR(__xludf.DUMMYFUNCTION("IMPORTRANGE(""https://docs.google.com/spreadsheets/d/1IYY_tgx_IHuhSq3AJ5eI5OnqOPBNLWSHKh2a30DoXe8/edit?usp=sharing"",""พังงา!J124"")"),20000)</f>
        <v>20000</v>
      </c>
      <c r="K199" s="167">
        <f t="shared" ref="K199:K201" ca="1" si="70">IF(I199&gt;0,J199*100/I199,0)</f>
        <v>100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IFERROR(__xludf.DUMMYFUNCTION("IMPORTRANGE(""https://docs.google.com/spreadsheets/d/1IYY_tgx_IHuhSq3AJ5eI5OnqOPBNLWSHKh2a30DoXe8/edit?usp=sharing"",""พังงา!I125"")"),20000)</f>
        <v>20000</v>
      </c>
      <c r="J200" s="195">
        <f ca="1">IFERROR(__xludf.DUMMYFUNCTION("IMPORTRANGE(""https://docs.google.com/spreadsheets/d/1IYY_tgx_IHuhSq3AJ5eI5OnqOPBNLWSHKh2a30DoXe8/edit?usp=sharing"",""พังงา!J125"")"),20000)</f>
        <v>20000</v>
      </c>
      <c r="K200" s="167">
        <f t="shared" ca="1" si="70"/>
        <v>100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IFERROR(__xludf.DUMMYFUNCTION("IMPORTRANGE(""https://docs.google.com/spreadsheets/d/1IYY_tgx_IHuhSq3AJ5eI5OnqOPBNLWSHKh2a30DoXe8/edit?usp=sharing"",""พังงา!I126"")"),0)</f>
        <v>0</v>
      </c>
      <c r="J201" s="195">
        <f ca="1">IFERROR(__xludf.DUMMYFUNCTION("IMPORTRANGE(""https://docs.google.com/spreadsheets/d/1IYY_tgx_IHuhSq3AJ5eI5OnqOPBNLWSHKh2a30DoXe8/edit?usp=sharing"",""พังงา!J126"")"),0)</f>
        <v>0</v>
      </c>
      <c r="K201" s="167">
        <f t="shared" ca="1" si="70"/>
        <v>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IFERROR(__xludf.DUMMYFUNCTION("IMPORTRANGE(""https://docs.google.com/spreadsheets/d/1IYY_tgx_IHuhSq3AJ5eI5OnqOPBNLWSHKh2a30DoXe8/edit?usp=sharing"",""พังงา!J127"")"),0)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IFERROR(__xludf.DUMMYFUNCTION("IMPORTRANGE(""https://docs.google.com/spreadsheets/d/1IYY_tgx_IHuhSq3AJ5eI5OnqOPBNLWSHKh2a30DoXe8/edit?usp=sharing"",""พังงา!J128"")"),0)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IFERROR(__xludf.DUMMYFUNCTION("IMPORTRANGE(""https://docs.google.com/spreadsheets/d/1IYY_tgx_IHuhSq3AJ5eI5OnqOPBNLWSHKh2a30DoXe8/edit?usp=sharing"",""พังงา!I129"")"),0)</f>
        <v>0</v>
      </c>
      <c r="J204" s="290">
        <f ca="1">IFERROR(__xludf.DUMMYFUNCTION("IMPORTRANGE(""https://docs.google.com/spreadsheets/d/1IYY_tgx_IHuhSq3AJ5eI5OnqOPBNLWSHKh2a30DoXe8/edit?usp=sharing"",""พังงา!J129"")"),0)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IFERROR(__xludf.DUMMYFUNCTION("IMPORTRANGE(""https://docs.google.com/spreadsheets/d/1IYY_tgx_IHuhSq3AJ5eI5OnqOPBNLWSHKh2a30DoXe8/edit?usp=sharing"",""พังงา!J134"")"),0)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IFERROR(__xludf.DUMMYFUNCTION("IMPORTRANGE(""https://docs.google.com/spreadsheets/d/1IYY_tgx_IHuhSq3AJ5eI5OnqOPBNLWSHKh2a30DoXe8/edit?usp=sharing"",""พังงา!J135"")"),0)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IFERROR(__xludf.DUMMYFUNCTION("IMPORTRANGE(""https://docs.google.com/spreadsheets/d/1IYY_tgx_IHuhSq3AJ5eI5OnqOPBNLWSHKh2a30DoXe8/edit?usp=sharing"",""พังงา!J136"")"),0)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IFERROR(__xludf.DUMMYFUNCTION("IMPORTRANGE(""https://docs.google.com/spreadsheets/d/1IYY_tgx_IHuhSq3AJ5eI5OnqOPBNLWSHKh2a30DoXe8/edit?usp=sharing"",""พังงา!J137"")"),0)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IFERROR(__xludf.DUMMYFUNCTION("IMPORTRANGE(""https://docs.google.com/spreadsheets/d/1IYY_tgx_IHuhSq3AJ5eI5OnqOPBNLWSHKh2a30DoXe8/edit?usp=sharing"",""พังงา!I138"")"),0)</f>
        <v>0</v>
      </c>
      <c r="J213" s="210">
        <f ca="1">IFERROR(__xludf.DUMMYFUNCTION("IMPORTRANGE(""https://docs.google.com/spreadsheets/d/1IYY_tgx_IHuhSq3AJ5eI5OnqOPBNLWSHKh2a30DoXe8/edit?usp=sharing"",""พังงา!J138"")"),0)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IFERROR(__xludf.DUMMYFUNCTION("IMPORTRANGE(""https://docs.google.com/spreadsheets/d/1IYY_tgx_IHuhSq3AJ5eI5OnqOPBNLWSHKh2a30DoXe8/edit?usp=sharing"",""พังงา!I140"")"),0)</f>
        <v>0</v>
      </c>
      <c r="J215" s="210">
        <f ca="1">IFERROR(__xludf.DUMMYFUNCTION("IMPORTRANGE(""https://docs.google.com/spreadsheets/d/1IYY_tgx_IHuhSq3AJ5eI5OnqOPBNLWSHKh2a30DoXe8/edit?usp=sharing"",""พังงา!J140"")"),0)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IFERROR(__xludf.DUMMYFUNCTION("IMPORTRANGE(""https://docs.google.com/spreadsheets/d/1IYY_tgx_IHuhSq3AJ5eI5OnqOPBNLWSHKh2a30DoXe8/edit?usp=sharing"",""พังงา!I141"")"),0)</f>
        <v>0</v>
      </c>
      <c r="J216" s="210">
        <f ca="1">IFERROR(__xludf.DUMMYFUNCTION("IMPORTRANGE(""https://docs.google.com/spreadsheets/d/1IYY_tgx_IHuhSq3AJ5eI5OnqOPBNLWSHKh2a30DoXe8/edit?usp=sharing"",""พังงา!J141"")"),0)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IFERROR(__xludf.DUMMYFUNCTION("IMPORTRANGE(""https://docs.google.com/spreadsheets/d/1IYY_tgx_IHuhSq3AJ5eI5OnqOPBNLWSHKh2a30DoXe8/edit?usp=sharing"",""พังงา!J142"")"),0)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IFERROR(__xludf.DUMMYFUNCTION("IMPORTRANGE(""https://docs.google.com/spreadsheets/d/1IYY_tgx_IHuhSq3AJ5eI5OnqOPBNLWSHKh2a30DoXe8/edit?usp=sharing"",""พังงา!J143"")"),0)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IFERROR(__xludf.DUMMYFUNCTION("IMPORTRANGE(""https://docs.google.com/spreadsheets/d/1IYY_tgx_IHuhSq3AJ5eI5OnqOPBNLWSHKh2a30DoXe8/edit?usp=sharing"",""พังงา!I144"")"),15)</f>
        <v>15</v>
      </c>
      <c r="J219" s="273">
        <f ca="1">IFERROR(__xludf.DUMMYFUNCTION("IMPORTRANGE(""https://docs.google.com/spreadsheets/d/1IYY_tgx_IHuhSq3AJ5eI5OnqOPBNLWSHKh2a30DoXe8/edit?usp=sharing"",""พังงา!J144"")"),15)</f>
        <v>15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2" t="s">
        <v>17</v>
      </c>
      <c r="E220" s="573"/>
      <c r="F220" s="573"/>
      <c r="G220" s="573"/>
      <c r="H220" s="153" t="s">
        <v>12</v>
      </c>
      <c r="I220" s="166"/>
      <c r="J220" s="166"/>
      <c r="K220" s="167"/>
      <c r="L220" s="156">
        <f t="shared" ref="L220:N220" ca="1" si="72">L221+L222</f>
        <v>21125</v>
      </c>
      <c r="M220" s="156">
        <f t="shared" ca="1" si="72"/>
        <v>21125</v>
      </c>
      <c r="N220" s="156">
        <f t="shared" ca="1" si="72"/>
        <v>21125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21125</v>
      </c>
      <c r="M222" s="161">
        <f t="shared" ca="1" si="76"/>
        <v>21125</v>
      </c>
      <c r="N222" s="161">
        <f t="shared" ca="1" si="76"/>
        <v>21125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3">
      <c r="A223" s="162"/>
      <c r="B223" s="163"/>
      <c r="C223" s="163" t="s">
        <v>16</v>
      </c>
      <c r="D223" s="574" t="s">
        <v>20</v>
      </c>
      <c r="E223" s="575"/>
      <c r="F223" s="575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21125</v>
      </c>
      <c r="M224" s="173">
        <f ca="1">IFERROR(__xludf.DUMMYFUNCTION("IMPORTRANGE(""https://docs.google.com/spreadsheets/d/1Yj_ptqi66GCucihVvJfMjLAmec39IyEx_6qawtMGysU/edit?usp=sharing"",""สบก!BS87"")"),21125)</f>
        <v>21125</v>
      </c>
      <c r="N224" s="174">
        <f ca="1">IFERROR(__xludf.DUMMYFUNCTION("IMPORTRANGE(""https://docs.google.com/spreadsheets/d/1Yj_ptqi66GCucihVvJfMjLAmec39IyEx_6qawtMGysU/edit?usp=sharing"",""สบก!BT87"")"),21125)</f>
        <v>21125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IFERROR(__xludf.DUMMYFUNCTION("IMPORTRANGE(""https://docs.google.com/spreadsheets/d/1Yj_ptqi66GCucihVvJfMjLAmec39IyEx_6qawtMGysU/edit?usp=sharing"",""สบก!BO87"")"),0)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IFERROR(__xludf.DUMMYFUNCTION("IMPORTRANGE(""https://docs.google.com/spreadsheets/d/1Yj_ptqi66GCucihVvJfMjLAmec39IyEx_6qawtMGysU/edit?usp=sharing"",""สบก!BP87"")"),21125)</f>
        <v>21125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6" t="s">
        <v>23</v>
      </c>
      <c r="E227" s="575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IFERROR(__xludf.DUMMYFUNCTION("IMPORTRANGE(""https://docs.google.com/spreadsheets/d/1Yj_ptqi66GCucihVvJfMjLAmec39IyEx_6qawtMGysU/edit?usp=sharing"",""สบก!BQ87"")"),0)</f>
        <v>0</v>
      </c>
      <c r="M228" s="101"/>
      <c r="N228" s="91">
        <f ca="1">IFERROR(__xludf.DUMMYFUNCTION("IMPORTRANGE(""https://docs.google.com/spreadsheets/d/1Yj_ptqi66GCucihVvJfMjLAmec39IyEx_6qawtMGysU/edit?usp=sharing"",""สบก!BU87"")"),0)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IFERROR(__xludf.DUMMYFUNCTION("IMPORTRANGE(""https://docs.google.com/spreadsheets/d/1IYY_tgx_IHuhSq3AJ5eI5OnqOPBNLWSHKh2a30DoXe8/edit?usp=sharing"",""พังงา!I149"")"),15)</f>
        <v>15</v>
      </c>
      <c r="J229" s="273">
        <f ca="1">IFERROR(__xludf.DUMMYFUNCTION("IMPORTRANGE(""https://docs.google.com/spreadsheets/d/1IYY_tgx_IHuhSq3AJ5eI5OnqOPBNLWSHKh2a30DoXe8/edit?usp=sharing"",""พังงา!J149"")"),15)</f>
        <v>15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IFERROR(__xludf.DUMMYFUNCTION("IMPORTRANGE(""https://docs.google.com/spreadsheets/d/1IYY_tgx_IHuhSq3AJ5eI5OnqOPBNLWSHKh2a30DoXe8/edit?usp=sharing"",""พังงา!J151"")"),0)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IFERROR(__xludf.DUMMYFUNCTION("IMPORTRANGE(""https://docs.google.com/spreadsheets/d/1IYY_tgx_IHuhSq3AJ5eI5OnqOPBNLWSHKh2a30DoXe8/edit?usp=sharing"",""พังงา!J152"")"),1)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IFERROR(__xludf.DUMMYFUNCTION("IMPORTRANGE(""https://docs.google.com/spreadsheets/d/1IYY_tgx_IHuhSq3AJ5eI5OnqOPBNLWSHKh2a30DoXe8/edit?usp=sharing"",""พังงา!J153"")"),1)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IFERROR(__xludf.DUMMYFUNCTION("IMPORTRANGE(""https://docs.google.com/spreadsheets/d/1IYY_tgx_IHuhSq3AJ5eI5OnqOPBNLWSHKh2a30DoXe8/edit?usp=sharing"",""พังงา!J154"")"),1)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IFERROR(__xludf.DUMMYFUNCTION("IMPORTRANGE(""https://docs.google.com/spreadsheets/d/1IYY_tgx_IHuhSq3AJ5eI5OnqOPBNLWSHKh2a30DoXe8/edit?usp=sharing"",""พังงา!I155"")"),15)</f>
        <v>15</v>
      </c>
      <c r="J235" s="195">
        <f ca="1">IFERROR(__xludf.DUMMYFUNCTION("IMPORTRANGE(""https://docs.google.com/spreadsheets/d/1IYY_tgx_IHuhSq3AJ5eI5OnqOPBNLWSHKh2a30DoXe8/edit?usp=sharing"",""พังงา!J155"")"),15)</f>
        <v>15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IFERROR(__xludf.DUMMYFUNCTION("IMPORTRANGE(""https://docs.google.com/spreadsheets/d/1IYY_tgx_IHuhSq3AJ5eI5OnqOPBNLWSHKh2a30DoXe8/edit?usp=sharing"",""พังงา!J156"")"),0)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IFERROR(__xludf.DUMMYFUNCTION("IMPORTRANGE(""https://docs.google.com/spreadsheets/d/1IYY_tgx_IHuhSq3AJ5eI5OnqOPBNLWSHKh2a30DoXe8/edit?usp=sharing"",""พังงา!J157"")"),0)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IFERROR(__xludf.DUMMYFUNCTION("IMPORTRANGE(""https://docs.google.com/spreadsheets/d/1IYY_tgx_IHuhSq3AJ5eI5OnqOPBNLWSHKh2a30DoXe8/edit?usp=sharing"",""พังงา!I158"")"),0)</f>
        <v>0</v>
      </c>
      <c r="J238" s="273">
        <f ca="1">IFERROR(__xludf.DUMMYFUNCTION("IMPORTRANGE(""https://docs.google.com/spreadsheets/d/1IYY_tgx_IHuhSq3AJ5eI5OnqOPBNLWSHKh2a30DoXe8/edit?usp=sharing"",""พังงา!J158"")"),0)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IFERROR(__xludf.DUMMYFUNCTION("IMPORTRANGE(""https://docs.google.com/spreadsheets/d/1IYY_tgx_IHuhSq3AJ5eI5OnqOPBNLWSHKh2a30DoXe8/edit?usp=sharing"",""พังงา!J159"")"),"")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IFERROR(__xludf.DUMMYFUNCTION("IMPORTRANGE(""https://docs.google.com/spreadsheets/d/1IYY_tgx_IHuhSq3AJ5eI5OnqOPBNLWSHKh2a30DoXe8/edit?usp=sharing"",""พังงา!J161"")"),0)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IFERROR(__xludf.DUMMYFUNCTION("IMPORTRANGE(""https://docs.google.com/spreadsheets/d/1IYY_tgx_IHuhSq3AJ5eI5OnqOPBNLWSHKh2a30DoXe8/edit?usp=sharing"",""พังงา!J162"")"),0)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IFERROR(__xludf.DUMMYFUNCTION("IMPORTRANGE(""https://docs.google.com/spreadsheets/d/1IYY_tgx_IHuhSq3AJ5eI5OnqOPBNLWSHKh2a30DoXe8/edit?usp=sharing"",""พังงา!J163"")"),0)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IFERROR(__xludf.DUMMYFUNCTION("IMPORTRANGE(""https://docs.google.com/spreadsheets/d/1IYY_tgx_IHuhSq3AJ5eI5OnqOPBNLWSHKh2a30DoXe8/edit?usp=sharing"",""พังงา!I164"")"),0)</f>
        <v>0</v>
      </c>
      <c r="J244" s="194">
        <f ca="1">IFERROR(__xludf.DUMMYFUNCTION("IMPORTRANGE(""https://docs.google.com/spreadsheets/d/1IYY_tgx_IHuhSq3AJ5eI5OnqOPBNLWSHKh2a30DoXe8/edit?usp=sharing"",""พังงา!J164"")"),0)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IFERROR(__xludf.DUMMYFUNCTION("IMPORTRANGE(""https://docs.google.com/spreadsheets/d/1IYY_tgx_IHuhSq3AJ5eI5OnqOPBNLWSHKh2a30DoXe8/edit?usp=sharing"",""พังงา!J165"")"),0)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IFERROR(__xludf.DUMMYFUNCTION("IMPORTRANGE(""https://docs.google.com/spreadsheets/d/1IYY_tgx_IHuhSq3AJ5eI5OnqOPBNLWSHKh2a30DoXe8/edit?usp=sharing"",""พังงา!J166"")"),0)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IFERROR(__xludf.DUMMYFUNCTION("IMPORTRANGE(""https://docs.google.com/spreadsheets/d/1IYY_tgx_IHuhSq3AJ5eI5OnqOPBNLWSHKh2a30DoXe8/edit?usp=sharing"",""พังงา!I169"")"),0)</f>
        <v>0</v>
      </c>
      <c r="J249" s="322">
        <f ca="1">IFERROR(__xludf.DUMMYFUNCTION("IMPORTRANGE(""https://docs.google.com/spreadsheets/d/1IYY_tgx_IHuhSq3AJ5eI5OnqOPBNLWSHKh2a30DoXe8/edit?usp=sharing"",""พังงา!J169"")"),0)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2" t="s">
        <v>17</v>
      </c>
      <c r="E250" s="573"/>
      <c r="F250" s="573"/>
      <c r="G250" s="573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3">
      <c r="A253" s="162"/>
      <c r="B253" s="163"/>
      <c r="C253" s="163" t="s">
        <v>16</v>
      </c>
      <c r="D253" s="574" t="s">
        <v>20</v>
      </c>
      <c r="E253" s="575"/>
      <c r="F253" s="575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IFERROR(__xludf.DUMMYFUNCTION("IMPORTRANGE(""https://docs.google.com/spreadsheets/d/1Yj_ptqi66GCucihVvJfMjLAmec39IyEx_6qawtMGysU/edit?usp=sharing"",""สบก!CB87"")"),0)</f>
        <v>0</v>
      </c>
      <c r="N254" s="174">
        <f ca="1">IFERROR(__xludf.DUMMYFUNCTION("IMPORTRANGE(""https://docs.google.com/spreadsheets/d/1Yj_ptqi66GCucihVvJfMjLAmec39IyEx_6qawtMGysU/edit?usp=sharing"",""สบก!CC87"")"),0)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IFERROR(__xludf.DUMMYFUNCTION("IMPORTRANGE(""https://docs.google.com/spreadsheets/d/1Yj_ptqi66GCucihVvJfMjLAmec39IyEx_6qawtMGysU/edit?usp=sharing"",""สบก!BX87"")"),0)</f>
        <v>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IFERROR(__xludf.DUMMYFUNCTION("IMPORTRANGE(""https://docs.google.com/spreadsheets/d/1Yj_ptqi66GCucihVvJfMjLAmec39IyEx_6qawtMGysU/edit?usp=sharing"",""สบก!BY87"")"),0)</f>
        <v>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6" t="s">
        <v>23</v>
      </c>
      <c r="E257" s="575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IFERROR(__xludf.DUMMYFUNCTION("IMPORTRANGE(""https://docs.google.com/spreadsheets/d/1Yj_ptqi66GCucihVvJfMjLAmec39IyEx_6qawtMGysU/edit?usp=sharing"",""สบก!BZ87"")"),0)</f>
        <v>0</v>
      </c>
      <c r="M258" s="101"/>
      <c r="N258" s="91">
        <f ca="1">IFERROR(__xludf.DUMMYFUNCTION("IMPORTRANGE(""https://docs.google.com/spreadsheets/d/1Yj_ptqi66GCucihVvJfMjLAmec39IyEx_6qawtMGysU/edit?usp=sharing"",""สบก!CD87"")"),0)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IFERROR(__xludf.DUMMYFUNCTION("IMPORTRANGE(""https://docs.google.com/spreadsheets/d/1IYY_tgx_IHuhSq3AJ5eI5OnqOPBNLWSHKh2a30DoXe8/edit?usp=sharing"",""พังงา!J175"")"),0)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IFERROR(__xludf.DUMMYFUNCTION("IMPORTRANGE(""https://docs.google.com/spreadsheets/d/1IYY_tgx_IHuhSq3AJ5eI5OnqOPBNLWSHKh2a30DoXe8/edit?usp=sharing"",""พังงา!J176"")"),0)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IFERROR(__xludf.DUMMYFUNCTION("IMPORTRANGE(""https://docs.google.com/spreadsheets/d/1IYY_tgx_IHuhSq3AJ5eI5OnqOPBNLWSHKh2a30DoXe8/edit?usp=sharing"",""พังงา!J177"")"),0)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IFERROR(__xludf.DUMMYFUNCTION("IMPORTRANGE(""https://docs.google.com/spreadsheets/d/1IYY_tgx_IHuhSq3AJ5eI5OnqOPBNLWSHKh2a30DoXe8/edit?usp=sharing"",""พังงา!J178"")"),0)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IFERROR(__xludf.DUMMYFUNCTION("IMPORTRANGE(""https://docs.google.com/spreadsheets/d/1IYY_tgx_IHuhSq3AJ5eI5OnqOPBNLWSHKh2a30DoXe8/edit?usp=sharing"",""พังงา!I179"")"),0)</f>
        <v>0</v>
      </c>
      <c r="J264" s="195">
        <f ca="1">IFERROR(__xludf.DUMMYFUNCTION("IMPORTRANGE(""https://docs.google.com/spreadsheets/d/1IYY_tgx_IHuhSq3AJ5eI5OnqOPBNLWSHKh2a30DoXe8/edit?usp=sharing"",""พังงา!J179"")"),0)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IFERROR(__xludf.DUMMYFUNCTION("IMPORTRANGE(""https://docs.google.com/spreadsheets/d/1IYY_tgx_IHuhSq3AJ5eI5OnqOPBNLWSHKh2a30DoXe8/edit?usp=sharing"",""พังงา!I180"")"),0)</f>
        <v>0</v>
      </c>
      <c r="J265" s="195">
        <f ca="1">IFERROR(__xludf.DUMMYFUNCTION("IMPORTRANGE(""https://docs.google.com/spreadsheets/d/1IYY_tgx_IHuhSq3AJ5eI5OnqOPBNLWSHKh2a30DoXe8/edit?usp=sharing"",""พังงา!J180"")"),0)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IFERROR(__xludf.DUMMYFUNCTION("IMPORTRANGE(""https://docs.google.com/spreadsheets/d/1IYY_tgx_IHuhSq3AJ5eI5OnqOPBNLWSHKh2a30DoXe8/edit?usp=sharing"",""พังงา!I181"")"),0)</f>
        <v>0</v>
      </c>
      <c r="J266" s="195">
        <f ca="1">IFERROR(__xludf.DUMMYFUNCTION("IMPORTRANGE(""https://docs.google.com/spreadsheets/d/1IYY_tgx_IHuhSq3AJ5eI5OnqOPBNLWSHKh2a30DoXe8/edit?usp=sharing"",""พังงา!J181"")"),0)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IFERROR(__xludf.DUMMYFUNCTION("IMPORTRANGE(""https://docs.google.com/spreadsheets/d/1IYY_tgx_IHuhSq3AJ5eI5OnqOPBNLWSHKh2a30DoXe8/edit?usp=sharing"",""พังงา!I182"")"),0)</f>
        <v>0</v>
      </c>
      <c r="J267" s="195">
        <f ca="1">IFERROR(__xludf.DUMMYFUNCTION("IMPORTRANGE(""https://docs.google.com/spreadsheets/d/1IYY_tgx_IHuhSq3AJ5eI5OnqOPBNLWSHKh2a30DoXe8/edit?usp=sharing"",""พังงา!J182"")"),0)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IFERROR(__xludf.DUMMYFUNCTION("IMPORTRANGE(""https://docs.google.com/spreadsheets/d/1IYY_tgx_IHuhSq3AJ5eI5OnqOPBNLWSHKh2a30DoXe8/edit?usp=sharing"",""พังงา!J183"")"),0)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IFERROR(__xludf.DUMMYFUNCTION("IMPORTRANGE(""https://docs.google.com/spreadsheets/d/1IYY_tgx_IHuhSq3AJ5eI5OnqOPBNLWSHKh2a30DoXe8/edit?usp=sharing"",""พังงา!J184"")"),0)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IFERROR(__xludf.DUMMYFUNCTION("IMPORTRANGE(""https://docs.google.com/spreadsheets/d/1IYY_tgx_IHuhSq3AJ5eI5OnqOPBNLWSHKh2a30DoXe8/edit?usp=sharing"",""พังงา!I185"")"),15)</f>
        <v>15</v>
      </c>
      <c r="J270" s="322">
        <f ca="1">IFERROR(__xludf.DUMMYFUNCTION("IMPORTRANGE(""https://docs.google.com/spreadsheets/d/1IYY_tgx_IHuhSq3AJ5eI5OnqOPBNLWSHKh2a30DoXe8/edit?usp=sharing"",""พังงา!J185"")"),15)</f>
        <v>15</v>
      </c>
      <c r="K270" s="323">
        <f ca="1">IF(I270&gt;0,J270*100/I270,0)</f>
        <v>100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2" t="s">
        <v>17</v>
      </c>
      <c r="E271" s="573"/>
      <c r="F271" s="573"/>
      <c r="G271" s="573"/>
      <c r="H271" s="153" t="s">
        <v>12</v>
      </c>
      <c r="I271" s="166"/>
      <c r="J271" s="166"/>
      <c r="K271" s="167"/>
      <c r="L271" s="156">
        <f t="shared" ref="L271:N271" ca="1" si="83">L272+L273</f>
        <v>187200</v>
      </c>
      <c r="M271" s="156">
        <f t="shared" ca="1" si="83"/>
        <v>187200</v>
      </c>
      <c r="N271" s="156">
        <f t="shared" ca="1" si="83"/>
        <v>69975</v>
      </c>
      <c r="O271" s="155">
        <f t="shared" ref="O271:O273" ca="1" si="84">IF(L271&gt;0,N271*100/L271,0)</f>
        <v>37.379807692307693</v>
      </c>
      <c r="P271" s="155">
        <f t="shared" ref="P271:P273" ca="1" si="85">IF(M271&gt;0,N271*100/M271,0)</f>
        <v>37.379807692307693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187200</v>
      </c>
      <c r="M273" s="161">
        <f t="shared" ca="1" si="87"/>
        <v>187200</v>
      </c>
      <c r="N273" s="161">
        <f t="shared" ca="1" si="87"/>
        <v>69975</v>
      </c>
      <c r="O273" s="160">
        <f t="shared" ca="1" si="84"/>
        <v>37.379807692307693</v>
      </c>
      <c r="P273" s="160">
        <f t="shared" ca="1" si="85"/>
        <v>37.379807692307693</v>
      </c>
    </row>
    <row r="274" spans="1:16" ht="21.75" customHeight="1" x14ac:dyDescent="0.3">
      <c r="A274" s="162"/>
      <c r="B274" s="163"/>
      <c r="C274" s="163" t="s">
        <v>16</v>
      </c>
      <c r="D274" s="574" t="s">
        <v>20</v>
      </c>
      <c r="E274" s="575"/>
      <c r="F274" s="575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187200</v>
      </c>
      <c r="M275" s="173">
        <f ca="1">IFERROR(__xludf.DUMMYFUNCTION("IMPORTRANGE(""https://docs.google.com/spreadsheets/d/1Yj_ptqi66GCucihVvJfMjLAmec39IyEx_6qawtMGysU/edit?usp=sharing"",""สบก!CK87"")"),187200)</f>
        <v>187200</v>
      </c>
      <c r="N275" s="174">
        <f ca="1">IFERROR(__xludf.DUMMYFUNCTION("IMPORTRANGE(""https://docs.google.com/spreadsheets/d/1Yj_ptqi66GCucihVvJfMjLAmec39IyEx_6qawtMGysU/edit?usp=sharing"",""สบก!CL87"")"),69975)</f>
        <v>69975</v>
      </c>
      <c r="O275" s="175">
        <f ca="1">IF(L275&gt;0,N275*100/L275,0)</f>
        <v>37.379807692307693</v>
      </c>
      <c r="P275" s="175">
        <f ca="1">IF(M275&gt;0,N275*100/M275,0)</f>
        <v>37.379807692307693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IFERROR(__xludf.DUMMYFUNCTION("IMPORTRANGE(""https://docs.google.com/spreadsheets/d/1Yj_ptqi66GCucihVvJfMjLAmec39IyEx_6qawtMGysU/edit?usp=sharing"",""สบก!CG87"")"),132000)</f>
        <v>132000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IFERROR(__xludf.DUMMYFUNCTION("IMPORTRANGE(""https://docs.google.com/spreadsheets/d/1Yj_ptqi66GCucihVvJfMjLAmec39IyEx_6qawtMGysU/edit?usp=sharing"",""สบก!CH87"")"),55200)</f>
        <v>55200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6" t="s">
        <v>23</v>
      </c>
      <c r="E278" s="575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IFERROR(__xludf.DUMMYFUNCTION("IMPORTRANGE(""https://docs.google.com/spreadsheets/d/1Yj_ptqi66GCucihVvJfMjLAmec39IyEx_6qawtMGysU/edit?usp=sharing"",""สบก!CI87"")"),0)</f>
        <v>0</v>
      </c>
      <c r="M279" s="101"/>
      <c r="N279" s="91">
        <f ca="1">IFERROR(__xludf.DUMMYFUNCTION("IMPORTRANGE(""https://docs.google.com/spreadsheets/d/1Yj_ptqi66GCucihVvJfMjLAmec39IyEx_6qawtMGysU/edit?usp=sharing"",""สบก!CM87"")"),0)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IFERROR(__xludf.DUMMYFUNCTION("IMPORTRANGE(""https://docs.google.com/spreadsheets/d/1IYY_tgx_IHuhSq3AJ5eI5OnqOPBNLWSHKh2a30DoXe8/edit?usp=sharing"",""พังงา!J191"")"),0)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IFERROR(__xludf.DUMMYFUNCTION("IMPORTRANGE(""https://docs.google.com/spreadsheets/d/1IYY_tgx_IHuhSq3AJ5eI5OnqOPBNLWSHKh2a30DoXe8/edit?usp=sharing"",""พังงา!J192"")"),1)</f>
        <v>1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IFERROR(__xludf.DUMMYFUNCTION("IMPORTRANGE(""https://docs.google.com/spreadsheets/d/1IYY_tgx_IHuhSq3AJ5eI5OnqOPBNLWSHKh2a30DoXe8/edit?usp=sharing"",""พังงา!J193"")"),1)</f>
        <v>1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IFERROR(__xludf.DUMMYFUNCTION("IMPORTRANGE(""https://docs.google.com/spreadsheets/d/1IYY_tgx_IHuhSq3AJ5eI5OnqOPBNLWSHKh2a30DoXe8/edit?usp=sharing"",""พังงา!J194"")"),1)</f>
        <v>1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IFERROR(__xludf.DUMMYFUNCTION("IMPORTRANGE(""https://docs.google.com/spreadsheets/d/1IYY_tgx_IHuhSq3AJ5eI5OnqOPBNLWSHKh2a30DoXe8/edit?usp=sharing"",""พังงา!I195"")"),15)</f>
        <v>15</v>
      </c>
      <c r="J285" s="195">
        <f ca="1">IFERROR(__xludf.DUMMYFUNCTION("IMPORTRANGE(""https://docs.google.com/spreadsheets/d/1IYY_tgx_IHuhSq3AJ5eI5OnqOPBNLWSHKh2a30DoXe8/edit?usp=sharing"",""พังงา!J195"")"),15)</f>
        <v>15</v>
      </c>
      <c r="K285" s="167">
        <f ca="1">IF(I285&gt;0,J285*100/I285,0)</f>
        <v>100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IFERROR(__xludf.DUMMYFUNCTION("IMPORTRANGE(""https://docs.google.com/spreadsheets/d/1IYY_tgx_IHuhSq3AJ5eI5OnqOPBNLWSHKh2a30DoXe8/edit?usp=sharing"",""พังงา!J196"")"),0)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IFERROR(__xludf.DUMMYFUNCTION("IMPORTRANGE(""https://docs.google.com/spreadsheets/d/1IYY_tgx_IHuhSq3AJ5eI5OnqOPBNLWSHKh2a30DoXe8/edit?usp=sharing"",""พังงา!J197"")"),0)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IFERROR(__xludf.DUMMYFUNCTION("IMPORTRANGE(""https://docs.google.com/spreadsheets/d/1IYY_tgx_IHuhSq3AJ5eI5OnqOPBNLWSHKh2a30DoXe8/edit?usp=sharing"",""พังงา!I199"")"),0)</f>
        <v>0</v>
      </c>
      <c r="J289" s="322">
        <f ca="1">IFERROR(__xludf.DUMMYFUNCTION("IMPORTRANGE(""https://docs.google.com/spreadsheets/d/1IYY_tgx_IHuhSq3AJ5eI5OnqOPBNLWSHKh2a30DoXe8/edit?usp=sharing"",""พังงา!J199"")"),0)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2" t="s">
        <v>17</v>
      </c>
      <c r="E290" s="573"/>
      <c r="F290" s="573"/>
      <c r="G290" s="573"/>
      <c r="H290" s="153" t="s">
        <v>12</v>
      </c>
      <c r="I290" s="194"/>
      <c r="J290" s="194"/>
      <c r="K290" s="230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3">
      <c r="A293" s="162"/>
      <c r="B293" s="163"/>
      <c r="C293" s="163" t="s">
        <v>16</v>
      </c>
      <c r="D293" s="574" t="s">
        <v>20</v>
      </c>
      <c r="E293" s="575"/>
      <c r="F293" s="575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IFERROR(__xludf.DUMMYFUNCTION("IMPORTRANGE(""https://docs.google.com/spreadsheets/d/1Yj_ptqi66GCucihVvJfMjLAmec39IyEx_6qawtMGysU/edit?usp=sharing"",""สบก!CT87"")"),0)</f>
        <v>0</v>
      </c>
      <c r="N294" s="174">
        <f ca="1">IFERROR(__xludf.DUMMYFUNCTION("IMPORTRANGE(""https://docs.google.com/spreadsheets/d/1Yj_ptqi66GCucihVvJfMjLAmec39IyEx_6qawtMGysU/edit?usp=sharing"",""สบก!CU87"")"),0)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IFERROR(__xludf.DUMMYFUNCTION("IMPORTRANGE(""https://docs.google.com/spreadsheets/d/1Yj_ptqi66GCucihVvJfMjLAmec39IyEx_6qawtMGysU/edit?usp=sharing"",""สบก!CP87"")"),0)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IFERROR(__xludf.DUMMYFUNCTION("IMPORTRANGE(""https://docs.google.com/spreadsheets/d/1Yj_ptqi66GCucihVvJfMjLAmec39IyEx_6qawtMGysU/edit?usp=sharing"",""สบก!CQ87"")"),0)</f>
        <v>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6" t="s">
        <v>23</v>
      </c>
      <c r="E297" s="575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IFERROR(__xludf.DUMMYFUNCTION("IMPORTRANGE(""https://docs.google.com/spreadsheets/d/1Yj_ptqi66GCucihVvJfMjLAmec39IyEx_6qawtMGysU/edit?usp=sharing"",""สบก!CR87"")"),0)</f>
        <v>0</v>
      </c>
      <c r="M298" s="101"/>
      <c r="N298" s="91">
        <f ca="1">IFERROR(__xludf.DUMMYFUNCTION("IMPORTRANGE(""https://docs.google.com/spreadsheets/d/1Yj_ptqi66GCucihVvJfMjLAmec39IyEx_6qawtMGysU/edit?usp=sharing"",""สบก!CV87"")"),0)</f>
        <v>0</v>
      </c>
      <c r="O298" s="101">
        <f ca="1">IF(L298&gt;0,N298*100/L298,0)</f>
        <v>0</v>
      </c>
      <c r="P298" s="101"/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IFERROR(__xludf.DUMMYFUNCTION("IMPORTRANGE(""https://docs.google.com/spreadsheets/d/1IYY_tgx_IHuhSq3AJ5eI5OnqOPBNLWSHKh2a30DoXe8/edit?usp=sharing"",""พังงา!J205"")"),0)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IFERROR(__xludf.DUMMYFUNCTION("IMPORTRANGE(""https://docs.google.com/spreadsheets/d/1IYY_tgx_IHuhSq3AJ5eI5OnqOPBNLWSHKh2a30DoXe8/edit?usp=sharing"",""พังงา!J206"")"),0)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IFERROR(__xludf.DUMMYFUNCTION("IMPORTRANGE(""https://docs.google.com/spreadsheets/d/1IYY_tgx_IHuhSq3AJ5eI5OnqOPBNLWSHKh2a30DoXe8/edit?usp=sharing"",""พังงา!J207"")"),0)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IFERROR(__xludf.DUMMYFUNCTION("IMPORTRANGE(""https://docs.google.com/spreadsheets/d/1IYY_tgx_IHuhSq3AJ5eI5OnqOPBNLWSHKh2a30DoXe8/edit?usp=sharing"",""พังงา!J208"")"),0)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IFERROR(__xludf.DUMMYFUNCTION("IMPORTRANGE(""https://docs.google.com/spreadsheets/d/1IYY_tgx_IHuhSq3AJ5eI5OnqOPBNLWSHKh2a30DoXe8/edit?usp=sharing"",""พังงา!I209"")"),0)</f>
        <v>0</v>
      </c>
      <c r="J304" s="210">
        <f ca="1">IFERROR(__xludf.DUMMYFUNCTION("IMPORTRANGE(""https://docs.google.com/spreadsheets/d/1IYY_tgx_IHuhSq3AJ5eI5OnqOPBNLWSHKh2a30DoXe8/edit?usp=sharing"",""พังงา!J209"")"),0)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IFERROR(__xludf.DUMMYFUNCTION("IMPORTRANGE(""https://docs.google.com/spreadsheets/d/1IYY_tgx_IHuhSq3AJ5eI5OnqOPBNLWSHKh2a30DoXe8/edit?usp=sharing"",""พังงา!I211"")"),0)</f>
        <v>0</v>
      </c>
      <c r="J306" s="210">
        <f ca="1">IFERROR(__xludf.DUMMYFUNCTION("IMPORTRANGE(""https://docs.google.com/spreadsheets/d/1IYY_tgx_IHuhSq3AJ5eI5OnqOPBNLWSHKh2a30DoXe8/edit?usp=sharing"",""พังงา!J211"")"),0)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IFERROR(__xludf.DUMMYFUNCTION("IMPORTRANGE(""https://docs.google.com/spreadsheets/d/1IYY_tgx_IHuhSq3AJ5eI5OnqOPBNLWSHKh2a30DoXe8/edit?usp=sharing"",""พังงา!J212"")"),0)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IFERROR(__xludf.DUMMYFUNCTION("IMPORTRANGE(""https://docs.google.com/spreadsheets/d/1IYY_tgx_IHuhSq3AJ5eI5OnqOPBNLWSHKh2a30DoXe8/edit?usp=sharing"",""พังงา!J213"")"),0)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IFERROR(__xludf.DUMMYFUNCTION("IMPORTRANGE(""https://docs.google.com/spreadsheets/d/1IYY_tgx_IHuhSq3AJ5eI5OnqOPBNLWSHKh2a30DoXe8/edit?usp=sharing"",""พังงา!I214"")"),0)</f>
        <v>0</v>
      </c>
      <c r="J309" s="339">
        <f ca="1">IFERROR(__xludf.DUMMYFUNCTION("IMPORTRANGE(""https://docs.google.com/spreadsheets/d/1IYY_tgx_IHuhSq3AJ5eI5OnqOPBNLWSHKh2a30DoXe8/edit?usp=sharing"",""พังงา!J214"")"),0)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2" t="s">
        <v>17</v>
      </c>
      <c r="E310" s="573"/>
      <c r="F310" s="573"/>
      <c r="G310" s="573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3">
      <c r="A313" s="162"/>
      <c r="B313" s="163"/>
      <c r="C313" s="163" t="s">
        <v>16</v>
      </c>
      <c r="D313" s="574" t="s">
        <v>20</v>
      </c>
      <c r="E313" s="575"/>
      <c r="F313" s="575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IFERROR(__xludf.DUMMYFUNCTION("IMPORTRANGE(""https://docs.google.com/spreadsheets/d/1Yj_ptqi66GCucihVvJfMjLAmec39IyEx_6qawtMGysU/edit?usp=sharing"",""สบก!DC87"")"),0)</f>
        <v>0</v>
      </c>
      <c r="N314" s="174">
        <f ca="1">IFERROR(__xludf.DUMMYFUNCTION("IMPORTRANGE(""https://docs.google.com/spreadsheets/d/1Yj_ptqi66GCucihVvJfMjLAmec39IyEx_6qawtMGysU/edit?usp=sharing"",""สบก!DD87"")"),0)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IFERROR(__xludf.DUMMYFUNCTION("IMPORTRANGE(""https://docs.google.com/spreadsheets/d/1Yj_ptqi66GCucihVvJfMjLAmec39IyEx_6qawtMGysU/edit?usp=sharing"",""สบก!CY87"")"),0)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IFERROR(__xludf.DUMMYFUNCTION("IMPORTRANGE(""https://docs.google.com/spreadsheets/d/1Yj_ptqi66GCucihVvJfMjLAmec39IyEx_6qawtMGysU/edit?usp=sharing"",""สบก!CZ87"")"),0)</f>
        <v>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6" t="s">
        <v>23</v>
      </c>
      <c r="E317" s="575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IFERROR(__xludf.DUMMYFUNCTION("IMPORTRANGE(""https://docs.google.com/spreadsheets/d/1Yj_ptqi66GCucihVvJfMjLAmec39IyEx_6qawtMGysU/edit?usp=sharing"",""สบก!DA87"")"),0)</f>
        <v>0</v>
      </c>
      <c r="M318" s="101"/>
      <c r="N318" s="91">
        <f ca="1">IFERROR(__xludf.DUMMYFUNCTION("IMPORTRANGE(""https://docs.google.com/spreadsheets/d/1Yj_ptqi66GCucihVvJfMjLAmec39IyEx_6qawtMGysU/edit?usp=sharing"",""สบก!DE87"")"),0)</f>
        <v>0</v>
      </c>
      <c r="O318" s="101">
        <f ca="1">IF(L318&gt;0,N318*100/L318,0)</f>
        <v>0</v>
      </c>
      <c r="P318" s="101"/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IFERROR(__xludf.DUMMYFUNCTION("IMPORTRANGE(""https://docs.google.com/spreadsheets/d/1IYY_tgx_IHuhSq3AJ5eI5OnqOPBNLWSHKh2a30DoXe8/edit?usp=sharing"",""พังงา!J220"")"),0)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IFERROR(__xludf.DUMMYFUNCTION("IMPORTRANGE(""https://docs.google.com/spreadsheets/d/1IYY_tgx_IHuhSq3AJ5eI5OnqOPBNLWSHKh2a30DoXe8/edit?usp=sharing"",""พังงา!J221"")"),0)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IFERROR(__xludf.DUMMYFUNCTION("IMPORTRANGE(""https://docs.google.com/spreadsheets/d/1IYY_tgx_IHuhSq3AJ5eI5OnqOPBNLWSHKh2a30DoXe8/edit?usp=sharing"",""พังงา!J222"")"),0)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IFERROR(__xludf.DUMMYFUNCTION("IMPORTRANGE(""https://docs.google.com/spreadsheets/d/1IYY_tgx_IHuhSq3AJ5eI5OnqOPBNLWSHKh2a30DoXe8/edit?usp=sharing"",""พังงา!J223"")"),0)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IFERROR(__xludf.DUMMYFUNCTION("IMPORTRANGE(""https://docs.google.com/spreadsheets/d/1IYY_tgx_IHuhSq3AJ5eI5OnqOPBNLWSHKh2a30DoXe8/edit?usp=sharing"",""พังงา!I224"")"),0)</f>
        <v>0</v>
      </c>
      <c r="J324" s="210">
        <f ca="1">IFERROR(__xludf.DUMMYFUNCTION("IMPORTRANGE(""https://docs.google.com/spreadsheets/d/1IYY_tgx_IHuhSq3AJ5eI5OnqOPBNLWSHKh2a30DoXe8/edit?usp=sharing"",""พังงา!J224"")"),0)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IFERROR(__xludf.DUMMYFUNCTION("IMPORTRANGE(""https://docs.google.com/spreadsheets/d/1IYY_tgx_IHuhSq3AJ5eI5OnqOPBNLWSHKh2a30DoXe8/edit?usp=sharing"",""พังงา!J225"")"),0)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IFERROR(__xludf.DUMMYFUNCTION("IMPORTRANGE(""https://docs.google.com/spreadsheets/d/1IYY_tgx_IHuhSq3AJ5eI5OnqOPBNLWSHKh2a30DoXe8/edit?usp=sharing"",""พังงา!J226"")"),0)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IFERROR(__xludf.DUMMYFUNCTION("IMPORTRANGE(""https://docs.google.com/spreadsheets/d/1IYY_tgx_IHuhSq3AJ5eI5OnqOPBNLWSHKh2a30DoXe8/edit?usp=sharing"",""พังงา!I228"")"),110)</f>
        <v>110</v>
      </c>
      <c r="J328" s="345">
        <f ca="1">IFERROR(__xludf.DUMMYFUNCTION("IMPORTRANGE(""https://docs.google.com/spreadsheets/d/1IYY_tgx_IHuhSq3AJ5eI5OnqOPBNLWSHKh2a30DoXe8/edit?usp=sharing"",""พังงา!J228"")"),111)</f>
        <v>111</v>
      </c>
      <c r="K328" s="323">
        <f ca="1">IF(I328&gt;0,J328*100/I328,0)</f>
        <v>100.90909090909091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2" t="s">
        <v>17</v>
      </c>
      <c r="E329" s="573"/>
      <c r="F329" s="573"/>
      <c r="G329" s="573"/>
      <c r="H329" s="153" t="s">
        <v>12</v>
      </c>
      <c r="I329" s="166"/>
      <c r="J329" s="166"/>
      <c r="K329" s="167"/>
      <c r="L329" s="156">
        <f t="shared" ref="L329:N329" ca="1" si="98">L330+L331</f>
        <v>917210</v>
      </c>
      <c r="M329" s="156">
        <f t="shared" ca="1" si="98"/>
        <v>807860</v>
      </c>
      <c r="N329" s="156">
        <f t="shared" ca="1" si="98"/>
        <v>614192.51</v>
      </c>
      <c r="O329" s="155">
        <f t="shared" ref="O329:O331" ca="1" si="99">IF(L329&gt;0,N329*100/L329,0)</f>
        <v>66.963128400257304</v>
      </c>
      <c r="P329" s="155">
        <f t="shared" ref="P329:P331" ca="1" si="100">IF(M329&gt;0,N329*100/M329,0)</f>
        <v>76.02709751689649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917210</v>
      </c>
      <c r="M331" s="161">
        <f t="shared" ca="1" si="102"/>
        <v>807860</v>
      </c>
      <c r="N331" s="161">
        <f t="shared" ca="1" si="102"/>
        <v>614192.51</v>
      </c>
      <c r="O331" s="160">
        <f t="shared" ca="1" si="99"/>
        <v>66.963128400257304</v>
      </c>
      <c r="P331" s="160">
        <f t="shared" ca="1" si="100"/>
        <v>76.02709751689649</v>
      </c>
    </row>
    <row r="332" spans="1:16" ht="21.75" customHeight="1" x14ac:dyDescent="0.3">
      <c r="A332" s="162"/>
      <c r="B332" s="163"/>
      <c r="C332" s="163" t="s">
        <v>16</v>
      </c>
      <c r="D332" s="574" t="s">
        <v>20</v>
      </c>
      <c r="E332" s="575"/>
      <c r="F332" s="575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743010</v>
      </c>
      <c r="M333" s="173">
        <f ca="1">IFERROR(__xludf.DUMMYFUNCTION("IMPORTRANGE(""https://docs.google.com/spreadsheets/d/1Yj_ptqi66GCucihVvJfMjLAmec39IyEx_6qawtMGysU/edit?usp=sharing"",""สบก!DL87"")"),633660)</f>
        <v>633660</v>
      </c>
      <c r="N333" s="174">
        <f ca="1">IFERROR(__xludf.DUMMYFUNCTION("IMPORTRANGE(""https://docs.google.com/spreadsheets/d/1Yj_ptqi66GCucihVvJfMjLAmec39IyEx_6qawtMGysU/edit?usp=sharing"",""สบก!DM87"")"),439992.51)</f>
        <v>439992.51</v>
      </c>
      <c r="O333" s="175">
        <f ca="1">IF(L333&gt;0,N333*100/L333,0)</f>
        <v>59.217575806516734</v>
      </c>
      <c r="P333" s="175">
        <f ca="1">IF(M333&gt;0,N333*100/M333,0)</f>
        <v>69.436686866773982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IFERROR(__xludf.DUMMYFUNCTION("IMPORTRANGE(""https://docs.google.com/spreadsheets/d/1Yj_ptqi66GCucihVvJfMjLAmec39IyEx_6qawtMGysU/edit?usp=sharing"",""สบก!DH87"")"),492000)</f>
        <v>492000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IFERROR(__xludf.DUMMYFUNCTION("IMPORTRANGE(""https://docs.google.com/spreadsheets/d/1Yj_ptqi66GCucihVvJfMjLAmec39IyEx_6qawtMGysU/edit?usp=sharing"",""สบก!DI87"")"),251010)</f>
        <v>251010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6" t="s">
        <v>23</v>
      </c>
      <c r="E336" s="575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IFERROR(__xludf.DUMMYFUNCTION("IMPORTRANGE(""https://docs.google.com/spreadsheets/d/1Yj_ptqi66GCucihVvJfMjLAmec39IyEx_6qawtMGysU/edit?usp=sharing"",""สบก!DJ87"")"),174200)</f>
        <v>174200</v>
      </c>
      <c r="M337" s="101">
        <f ca="1">L337</f>
        <v>174200</v>
      </c>
      <c r="N337" s="91">
        <f ca="1">IFERROR(__xludf.DUMMYFUNCTION("IMPORTRANGE(""https://docs.google.com/spreadsheets/d/1Yj_ptqi66GCucihVvJfMjLAmec39IyEx_6qawtMGysU/edit?usp=sharing"",""สบก!DN87"")"),174200)</f>
        <v>174200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IFERROR(__xludf.DUMMYFUNCTION("IMPORTRANGE(""https://docs.google.com/spreadsheets/d/1IYY_tgx_IHuhSq3AJ5eI5OnqOPBNLWSHKh2a30DoXe8/edit?usp=sharing"",""พังงา!I234"")"),0)</f>
        <v>0</v>
      </c>
      <c r="J339" s="194">
        <f ca="1">IFERROR(__xludf.DUMMYFUNCTION("IMPORTRANGE(""https://docs.google.com/spreadsheets/d/1IYY_tgx_IHuhSq3AJ5eI5OnqOPBNLWSHKh2a30DoXe8/edit?usp=sharing"",""พังงา!J234"")"),77)</f>
        <v>77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IFERROR(__xludf.DUMMYFUNCTION("IMPORTRANGE(""https://docs.google.com/spreadsheets/d/1IYY_tgx_IHuhSq3AJ5eI5OnqOPBNLWSHKh2a30DoXe8/edit?usp=sharing"",""พังงา!I235"")"),665)</f>
        <v>665</v>
      </c>
      <c r="J340" s="194">
        <f ca="1">IFERROR(__xludf.DUMMYFUNCTION("IMPORTRANGE(""https://docs.google.com/spreadsheets/d/1IYY_tgx_IHuhSq3AJ5eI5OnqOPBNLWSHKh2a30DoXe8/edit?usp=sharing"",""พังงา!J235"")"),599.579999999999)</f>
        <v>599.57999999999902</v>
      </c>
      <c r="K340" s="348">
        <f t="shared" ca="1" si="103"/>
        <v>90.162406015037448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IFERROR(__xludf.DUMMYFUNCTION("IMPORTRANGE(""https://docs.google.com/spreadsheets/d/1IYY_tgx_IHuhSq3AJ5eI5OnqOPBNLWSHKh2a30DoXe8/edit?usp=sharing"",""พังงา!I236"")"),110)</f>
        <v>110</v>
      </c>
      <c r="J341" s="194">
        <f ca="1">IFERROR(__xludf.DUMMYFUNCTION("IMPORTRANGE(""https://docs.google.com/spreadsheets/d/1IYY_tgx_IHuhSq3AJ5eI5OnqOPBNLWSHKh2a30DoXe8/edit?usp=sharing"",""พังงา!J236"")"),120)</f>
        <v>120</v>
      </c>
      <c r="K341" s="348">
        <f t="shared" ca="1" si="103"/>
        <v>109.09090909090909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IFERROR(__xludf.DUMMYFUNCTION("IMPORTRANGE(""https://docs.google.com/spreadsheets/d/1IYY_tgx_IHuhSq3AJ5eI5OnqOPBNLWSHKh2a30DoXe8/edit?usp=sharing"",""พังงา!I237"")"),0)</f>
        <v>0</v>
      </c>
      <c r="J342" s="194">
        <f ca="1">IFERROR(__xludf.DUMMYFUNCTION("IMPORTRANGE(""https://docs.google.com/spreadsheets/d/1IYY_tgx_IHuhSq3AJ5eI5OnqOPBNLWSHKh2a30DoXe8/edit?usp=sharing"",""พังงา!J237"")"),985.22)</f>
        <v>985.22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IFERROR(__xludf.DUMMYFUNCTION("IMPORTRANGE(""https://docs.google.com/spreadsheets/d/1IYY_tgx_IHuhSq3AJ5eI5OnqOPBNLWSHKh2a30DoXe8/edit?usp=sharing"",""พังงา!I238"")"),110)</f>
        <v>110</v>
      </c>
      <c r="J343" s="194">
        <f ca="1">IFERROR(__xludf.DUMMYFUNCTION("IMPORTRANGE(""https://docs.google.com/spreadsheets/d/1IYY_tgx_IHuhSq3AJ5eI5OnqOPBNLWSHKh2a30DoXe8/edit?usp=sharing"",""พังงา!J238"")"),0)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IFERROR(__xludf.DUMMYFUNCTION("IMPORTRANGE(""https://docs.google.com/spreadsheets/d/1IYY_tgx_IHuhSq3AJ5eI5OnqOPBNLWSHKh2a30DoXe8/edit?usp=sharing"",""พังงา!I239"")"),0)</f>
        <v>0</v>
      </c>
      <c r="J344" s="194">
        <f ca="1">IFERROR(__xludf.DUMMYFUNCTION("IMPORTRANGE(""https://docs.google.com/spreadsheets/d/1IYY_tgx_IHuhSq3AJ5eI5OnqOPBNLWSHKh2a30DoXe8/edit?usp=sharing"",""พังงา!J239"")"),0)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IFERROR(__xludf.DUMMYFUNCTION("IMPORTRANGE(""https://docs.google.com/spreadsheets/d/1IYY_tgx_IHuhSq3AJ5eI5OnqOPBNLWSHKh2a30DoXe8/edit?usp=sharing"",""พังงา!I240"")"),110)</f>
        <v>110</v>
      </c>
      <c r="J345" s="194">
        <f ca="1">IFERROR(__xludf.DUMMYFUNCTION("IMPORTRANGE(""https://docs.google.com/spreadsheets/d/1IYY_tgx_IHuhSq3AJ5eI5OnqOPBNLWSHKh2a30DoXe8/edit?usp=sharing"",""พังงา!J240"")"),111)</f>
        <v>111</v>
      </c>
      <c r="K345" s="348">
        <f t="shared" ca="1" si="103"/>
        <v>100.90909090909091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IFERROR(__xludf.DUMMYFUNCTION("IMPORTRANGE(""https://docs.google.com/spreadsheets/d/1IYY_tgx_IHuhSq3AJ5eI5OnqOPBNLWSHKh2a30DoXe8/edit?usp=sharing"",""พังงา!I241"")"),0)</f>
        <v>0</v>
      </c>
      <c r="J346" s="194">
        <f ca="1">IFERROR(__xludf.DUMMYFUNCTION("IMPORTRANGE(""https://docs.google.com/spreadsheets/d/1IYY_tgx_IHuhSq3AJ5eI5OnqOPBNLWSHKh2a30DoXe8/edit?usp=sharing"",""พังงา!J241"")"),898.319999999999)</f>
        <v>898.31999999999903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IFERROR(__xludf.DUMMYFUNCTION("IMPORTRANGE(""https://docs.google.com/spreadsheets/d/1IYY_tgx_IHuhSq3AJ5eI5OnqOPBNLWSHKh2a30DoXe8/edit?usp=sharing"",""พังงา!L242"")"),1067822)</f>
        <v>1067822</v>
      </c>
      <c r="M347" s="364"/>
      <c r="N347" s="364">
        <f ca="1">IFERROR(__xludf.DUMMYFUNCTION("IMPORTRANGE(""https://docs.google.com/spreadsheets/d/1IYY_tgx_IHuhSq3AJ5eI5OnqOPBNLWSHKh2a30DoXe8/edit?usp=sharing"",""พังงา!M242"")"),838144)</f>
        <v>838144</v>
      </c>
      <c r="O347" s="364">
        <f ca="1">+IF(L347&gt;0,N347*100/L347,0)</f>
        <v>78.490984452464929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IFERROR(__xludf.DUMMYFUNCTION("IMPORTRANGE(""https://docs.google.com/spreadsheets/d/1IYY_tgx_IHuhSq3AJ5eI5OnqOPBNLWSHKh2a30DoXe8/edit?usp=sharing"",""พังงา!I244"")"),30)</f>
        <v>30</v>
      </c>
      <c r="J349" s="377">
        <f ca="1">IFERROR(__xludf.DUMMYFUNCTION("IMPORTRANGE(""https://docs.google.com/spreadsheets/d/1IYY_tgx_IHuhSq3AJ5eI5OnqOPBNLWSHKh2a30DoXe8/edit?usp=sharing"",""พังงา!J244"")"),30)</f>
        <v>30</v>
      </c>
      <c r="K349" s="378">
        <f t="shared" ref="K349:K350" ca="1" si="104">IF(I349&gt;0,J349*100/I349,0)</f>
        <v>100</v>
      </c>
      <c r="L349" s="379">
        <f ca="1">IFERROR(__xludf.DUMMYFUNCTION("IMPORTRANGE(""https://docs.google.com/spreadsheets/d/1IYY_tgx_IHuhSq3AJ5eI5OnqOPBNLWSHKh2a30DoXe8/edit?usp=sharing"",""พังงา!L244"")"),72420)</f>
        <v>72420</v>
      </c>
      <c r="M349" s="379"/>
      <c r="N349" s="379">
        <f ca="1">IFERROR(__xludf.DUMMYFUNCTION("IMPORTRANGE(""https://docs.google.com/spreadsheets/d/1IYY_tgx_IHuhSq3AJ5eI5OnqOPBNLWSHKh2a30DoXe8/edit?usp=sharing"",""พังงา!M244"")"),58605)</f>
        <v>58605</v>
      </c>
      <c r="O349" s="379">
        <f ca="1">+IF(L349&gt;0,N349*100/L349,0)</f>
        <v>80.923777961888987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IFERROR(__xludf.DUMMYFUNCTION("IMPORTRANGE(""https://docs.google.com/spreadsheets/d/1IYY_tgx_IHuhSq3AJ5eI5OnqOPBNLWSHKh2a30DoXe8/edit?usp=sharing"",""พังงา!I245"")"),15)</f>
        <v>15</v>
      </c>
      <c r="J350" s="377">
        <f ca="1">IFERROR(__xludf.DUMMYFUNCTION("IMPORTRANGE(""https://docs.google.com/spreadsheets/d/1IYY_tgx_IHuhSq3AJ5eI5OnqOPBNLWSHKh2a30DoXe8/edit?usp=sharing"",""พังงา!J245"")"),15)</f>
        <v>15</v>
      </c>
      <c r="K350" s="378">
        <f t="shared" ca="1" si="104"/>
        <v>100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IFERROR(__xludf.DUMMYFUNCTION("IMPORTRANGE(""https://docs.google.com/spreadsheets/d/1IYY_tgx_IHuhSq3AJ5eI5OnqOPBNLWSHKh2a30DoXe8/edit?usp=sharing"",""พังงา!L246"")"),0)</f>
        <v>0</v>
      </c>
      <c r="M351" s="168"/>
      <c r="N351" s="168">
        <f ca="1">IFERROR(__xludf.DUMMYFUNCTION("IMPORTRANGE(""https://docs.google.com/spreadsheets/d/1IYY_tgx_IHuhSq3AJ5eI5OnqOPBNLWSHKh2a30DoXe8/edit?usp=sharing"",""พังงา!M246"")"),0)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IFERROR(__xludf.DUMMYFUNCTION("IMPORTRANGE(""https://docs.google.com/spreadsheets/d/1IYY_tgx_IHuhSq3AJ5eI5OnqOPBNLWSHKh2a30DoXe8/edit?usp=sharing"",""พังงา!L247"")"),72420)</f>
        <v>72420</v>
      </c>
      <c r="M352" s="169"/>
      <c r="N352" s="168">
        <f ca="1">IFERROR(__xludf.DUMMYFUNCTION("IMPORTRANGE(""https://docs.google.com/spreadsheets/d/1IYY_tgx_IHuhSq3AJ5eI5OnqOPBNLWSHKh2a30DoXe8/edit?usp=sharing"",""พังงา!M247"")"),58605)</f>
        <v>58605</v>
      </c>
      <c r="O352" s="169">
        <f t="shared" ca="1" si="105"/>
        <v>80.923777961888987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IFERROR(__xludf.DUMMYFUNCTION("IMPORTRANGE(""https://docs.google.com/spreadsheets/d/1IYY_tgx_IHuhSq3AJ5eI5OnqOPBNLWSHKh2a30DoXe8/edit?usp=sharing"",""พังงา!L248"")"),0)</f>
        <v>0</v>
      </c>
      <c r="M353" s="175"/>
      <c r="N353" s="175">
        <f ca="1">IFERROR(__xludf.DUMMYFUNCTION("IMPORTRANGE(""https://docs.google.com/spreadsheets/d/1IYY_tgx_IHuhSq3AJ5eI5OnqOPBNLWSHKh2a30DoXe8/edit?usp=sharing"",""พังงา!M248"")"),0)</f>
        <v>0</v>
      </c>
      <c r="O353" s="175">
        <f t="shared" ca="1" si="105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IFERROR(__xludf.DUMMYFUNCTION("IMPORTRANGE(""https://docs.google.com/spreadsheets/d/1IYY_tgx_IHuhSq3AJ5eI5OnqOPBNLWSHKh2a30DoXe8/edit?usp=sharing"",""พังงา!L249"")"),72420)</f>
        <v>72420</v>
      </c>
      <c r="M354" s="175"/>
      <c r="N354" s="172">
        <f ca="1">IFERROR(__xludf.DUMMYFUNCTION("IMPORTRANGE(""https://docs.google.com/spreadsheets/d/1IYY_tgx_IHuhSq3AJ5eI5OnqOPBNLWSHKh2a30DoXe8/edit?usp=sharing"",""พังงา!M249"")"),58605)</f>
        <v>58605</v>
      </c>
      <c r="O354" s="175">
        <f t="shared" ca="1" si="105"/>
        <v>80.923777961888987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IFERROR(__xludf.DUMMYFUNCTION("IMPORTRANGE(""https://docs.google.com/spreadsheets/d/1IYY_tgx_IHuhSq3AJ5eI5OnqOPBNLWSHKh2a30DoXe8/edit?usp=sharing"",""พังงา!M250"")"),14665)</f>
        <v>14665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IFERROR(__xludf.DUMMYFUNCTION("IMPORTRANGE(""https://docs.google.com/spreadsheets/d/1IYY_tgx_IHuhSq3AJ5eI5OnqOPBNLWSHKh2a30DoXe8/edit?usp=sharing"",""พังงา!M251"")"),32000)</f>
        <v>32000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IFERROR(__xludf.DUMMYFUNCTION("IMPORTRANGE(""https://docs.google.com/spreadsheets/d/1IYY_tgx_IHuhSq3AJ5eI5OnqOPBNLWSHKh2a30DoXe8/edit?usp=sharing"",""พังงา!M252"")"),0)</f>
        <v>0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IFERROR(__xludf.DUMMYFUNCTION("IMPORTRANGE(""https://docs.google.com/spreadsheets/d/1IYY_tgx_IHuhSq3AJ5eI5OnqOPBNLWSHKh2a30DoXe8/edit?usp=sharing"",""พังงา!M253"")"),11940)</f>
        <v>11940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IFERROR(__xludf.DUMMYFUNCTION("IMPORTRANGE(""https://docs.google.com/spreadsheets/d/1IYY_tgx_IHuhSq3AJ5eI5OnqOPBNLWSHKh2a30DoXe8/edit?usp=sharing"",""พังงา!J255"")"),0)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IFERROR(__xludf.DUMMYFUNCTION("IMPORTRANGE(""https://docs.google.com/spreadsheets/d/1IYY_tgx_IHuhSq3AJ5eI5OnqOPBNLWSHKh2a30DoXe8/edit?usp=sharing"",""พังงา!J256"")"),1)</f>
        <v>1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IFERROR(__xludf.DUMMYFUNCTION("IMPORTRANGE(""https://docs.google.com/spreadsheets/d/1IYY_tgx_IHuhSq3AJ5eI5OnqOPBNLWSHKh2a30DoXe8/edit?usp=sharing"",""พังงา!J257"")"),1)</f>
        <v>1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IFERROR(__xludf.DUMMYFUNCTION("IMPORTRANGE(""https://docs.google.com/spreadsheets/d/1IYY_tgx_IHuhSq3AJ5eI5OnqOPBNLWSHKh2a30DoXe8/edit?usp=sharing"",""พังงา!J258"")"),1)</f>
        <v>1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IFERROR(__xludf.DUMMYFUNCTION("IMPORTRANGE(""https://docs.google.com/spreadsheets/d/1IYY_tgx_IHuhSq3AJ5eI5OnqOPBNLWSHKh2a30DoXe8/edit?usp=sharing"",""พังงา!J166"")"),0)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IFERROR(__xludf.DUMMYFUNCTION("IMPORTRANGE(""https://docs.google.com/spreadsheets/d/1IYY_tgx_IHuhSq3AJ5eI5OnqOPBNLWSHKh2a30DoXe8/edit?usp=sharing"",""พังงา!J166"")"),0)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IFERROR(__xludf.DUMMYFUNCTION("IMPORTRANGE(""https://docs.google.com/spreadsheets/d/1IYY_tgx_IHuhSq3AJ5eI5OnqOPBNLWSHKh2a30DoXe8/edit?usp=sharing"",""พังงา!J166"")"),0)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IFERROR(__xludf.DUMMYFUNCTION("IMPORTRANGE(""https://docs.google.com/spreadsheets/d/1IYY_tgx_IHuhSq3AJ5eI5OnqOPBNLWSHKh2a30DoXe8/edit?usp=sharing"",""พังงา!J166"")"),0)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IFERROR(__xludf.DUMMYFUNCTION("IMPORTRANGE(""https://docs.google.com/spreadsheets/d/1IYY_tgx_IHuhSq3AJ5eI5OnqOPBNLWSHKh2a30DoXe8/edit?usp=sharing"",""พังงา!I263"")"),15)</f>
        <v>15</v>
      </c>
      <c r="J368" s="194">
        <f ca="1">IFERROR(__xludf.DUMMYFUNCTION("IMPORTRANGE(""https://docs.google.com/spreadsheets/d/1IYY_tgx_IHuhSq3AJ5eI5OnqOPBNLWSHKh2a30DoXe8/edit?usp=sharing"",""พังงา!J263"")"),15)</f>
        <v>15</v>
      </c>
      <c r="K368" s="167">
        <f t="shared" ca="1" si="106"/>
        <v>100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IFERROR(__xludf.DUMMYFUNCTION("IMPORTRANGE(""https://docs.google.com/spreadsheets/d/1IYY_tgx_IHuhSq3AJ5eI5OnqOPBNLWSHKh2a30DoXe8/edit?usp=sharing"",""พังงา!I164"")"),0)</f>
        <v>0</v>
      </c>
      <c r="J369" s="210">
        <f ca="1">IFERROR(__xludf.DUMMYFUNCTION("IMPORTRANGE(""https://docs.google.com/spreadsheets/d/1IYY_tgx_IHuhSq3AJ5eI5OnqOPBNLWSHKh2a30DoXe8/edit?usp=sharing"",""พังงา!J164"")"),0)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IFERROR(__xludf.DUMMYFUNCTION("IMPORTRANGE(""https://docs.google.com/spreadsheets/d/1IYY_tgx_IHuhSq3AJ5eI5OnqOPBNLWSHKh2a30DoXe8/edit?usp=sharing"",""พังงา!I265"")"),15)</f>
        <v>15</v>
      </c>
      <c r="J370" s="210">
        <f ca="1">IFERROR(__xludf.DUMMYFUNCTION("IMPORTRANGE(""https://docs.google.com/spreadsheets/d/1IYY_tgx_IHuhSq3AJ5eI5OnqOPBNLWSHKh2a30DoXe8/edit?usp=sharing"",""พังงา!J265"")"),15)</f>
        <v>15</v>
      </c>
      <c r="K370" s="167">
        <f t="shared" ca="1" si="106"/>
        <v>100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IFERROR(__xludf.DUMMYFUNCTION("IMPORTRANGE(""https://docs.google.com/spreadsheets/d/1IYY_tgx_IHuhSq3AJ5eI5OnqOPBNLWSHKh2a30DoXe8/edit?usp=sharing"",""พังงา!I164"")"),0)</f>
        <v>0</v>
      </c>
      <c r="J371" s="195">
        <f ca="1">IFERROR(__xludf.DUMMYFUNCTION("IMPORTRANGE(""https://docs.google.com/spreadsheets/d/1IYY_tgx_IHuhSq3AJ5eI5OnqOPBNLWSHKh2a30DoXe8/edit?usp=sharing"",""พังงา!J164"")"),0)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IFERROR(__xludf.DUMMYFUNCTION("IMPORTRANGE(""https://docs.google.com/spreadsheets/d/1IYY_tgx_IHuhSq3AJ5eI5OnqOPBNLWSHKh2a30DoXe8/edit?usp=sharing"",""พังงา!I267"")"),15)</f>
        <v>15</v>
      </c>
      <c r="J372" s="195">
        <f ca="1">IFERROR(__xludf.DUMMYFUNCTION("IMPORTRANGE(""https://docs.google.com/spreadsheets/d/1IYY_tgx_IHuhSq3AJ5eI5OnqOPBNLWSHKh2a30DoXe8/edit?usp=sharing"",""พังงา!J267"")"),15)</f>
        <v>15</v>
      </c>
      <c r="K372" s="167">
        <f t="shared" ca="1" si="106"/>
        <v>100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IFERROR(__xludf.DUMMYFUNCTION("IMPORTRANGE(""https://docs.google.com/spreadsheets/d/1IYY_tgx_IHuhSq3AJ5eI5OnqOPBNLWSHKh2a30DoXe8/edit?usp=sharing"",""พังงา!I164"")"),0)</f>
        <v>0</v>
      </c>
      <c r="J373" s="210">
        <f ca="1">IFERROR(__xludf.DUMMYFUNCTION("IMPORTRANGE(""https://docs.google.com/spreadsheets/d/1IYY_tgx_IHuhSq3AJ5eI5OnqOPBNLWSHKh2a30DoXe8/edit?usp=sharing"",""พังงา!J164"")"),0)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IFERROR(__xludf.DUMMYFUNCTION("IMPORTRANGE(""https://docs.google.com/spreadsheets/d/1IYY_tgx_IHuhSq3AJ5eI5OnqOPBNLWSHKh2a30DoXe8/edit?usp=sharing"",""พังงา!I164"")"),0)</f>
        <v>0</v>
      </c>
      <c r="J374" s="194">
        <f ca="1">IFERROR(__xludf.DUMMYFUNCTION("IMPORTRANGE(""https://docs.google.com/spreadsheets/d/1IYY_tgx_IHuhSq3AJ5eI5OnqOPBNLWSHKh2a30DoXe8/edit?usp=sharing"",""พังงา!J164"")"),0)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IFERROR(__xludf.DUMMYFUNCTION("IMPORTRANGE(""https://docs.google.com/spreadsheets/d/1IYY_tgx_IHuhSq3AJ5eI5OnqOPBNLWSHKh2a30DoXe8/edit?usp=sharing"",""พังงา!I270"")"),30)</f>
        <v>30</v>
      </c>
      <c r="J375" s="194">
        <f ca="1">IFERROR(__xludf.DUMMYFUNCTION("IMPORTRANGE(""https://docs.google.com/spreadsheets/d/1IYY_tgx_IHuhSq3AJ5eI5OnqOPBNLWSHKh2a30DoXe8/edit?usp=sharing"",""พังงา!J270"")"),30)</f>
        <v>30</v>
      </c>
      <c r="K375" s="167">
        <f t="shared" ref="K375:K377" ca="1" si="107">IF(I375&gt;0,J375*100/I375,0)</f>
        <v>100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IFERROR(__xludf.DUMMYFUNCTION("IMPORTRANGE(""https://docs.google.com/spreadsheets/d/1IYY_tgx_IHuhSq3AJ5eI5OnqOPBNLWSHKh2a30DoXe8/edit?usp=sharing"",""พังงา!I271"")"),20)</f>
        <v>20</v>
      </c>
      <c r="J376" s="195">
        <f ca="1">IFERROR(__xludf.DUMMYFUNCTION("IMPORTRANGE(""https://docs.google.com/spreadsheets/d/1IYY_tgx_IHuhSq3AJ5eI5OnqOPBNLWSHKh2a30DoXe8/edit?usp=sharing"",""พังงา!J271"")"),20)</f>
        <v>20</v>
      </c>
      <c r="K376" s="167">
        <f t="shared" ca="1" si="107"/>
        <v>100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IFERROR(__xludf.DUMMYFUNCTION("IMPORTRANGE(""https://docs.google.com/spreadsheets/d/1IYY_tgx_IHuhSq3AJ5eI5OnqOPBNLWSHKh2a30DoXe8/edit?usp=sharing"",""พังงา!I272"")"),10)</f>
        <v>10</v>
      </c>
      <c r="J377" s="210">
        <f ca="1">IFERROR(__xludf.DUMMYFUNCTION("IMPORTRANGE(""https://docs.google.com/spreadsheets/d/1IYY_tgx_IHuhSq3AJ5eI5OnqOPBNLWSHKh2a30DoXe8/edit?usp=sharing"",""พังงา!J272"")"),10)</f>
        <v>10</v>
      </c>
      <c r="K377" s="167">
        <f t="shared" ca="1" si="107"/>
        <v>100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IFERROR(__xludf.DUMMYFUNCTION("IMPORTRANGE(""https://docs.google.com/spreadsheets/d/1IYY_tgx_IHuhSq3AJ5eI5OnqOPBNLWSHKh2a30DoXe8/edit?usp=sharing"",""พังงา!J273"")"),0)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IFERROR(__xludf.DUMMYFUNCTION("IMPORTRANGE(""https://docs.google.com/spreadsheets/d/1IYY_tgx_IHuhSq3AJ5eI5OnqOPBNLWSHKh2a30DoXe8/edit?usp=sharing"",""พังงา!J274"")"),0)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IFERROR(__xludf.DUMMYFUNCTION("IMPORTRANGE(""https://docs.google.com/spreadsheets/d/1IYY_tgx_IHuhSq3AJ5eI5OnqOPBNLWSHKh2a30DoXe8/edit?usp=sharing"",""พังงา!I275"")"),500)</f>
        <v>500</v>
      </c>
      <c r="J380" s="377">
        <f ca="1">IFERROR(__xludf.DUMMYFUNCTION("IMPORTRANGE(""https://docs.google.com/spreadsheets/d/1IYY_tgx_IHuhSq3AJ5eI5OnqOPBNLWSHKh2a30DoXe8/edit?usp=sharing"",""พังงา!J275"")"),500)</f>
        <v>500</v>
      </c>
      <c r="K380" s="378">
        <f t="shared" ref="K380:K381" ca="1" si="108">IF(I380&gt;0,J380*100/I380,0)</f>
        <v>100</v>
      </c>
      <c r="L380" s="379">
        <f ca="1">IFERROR(__xludf.DUMMYFUNCTION("IMPORTRANGE(""https://docs.google.com/spreadsheets/d/1IYY_tgx_IHuhSq3AJ5eI5OnqOPBNLWSHKh2a30DoXe8/edit?usp=sharing"",""พังงา!L275"")"),460140)</f>
        <v>460140</v>
      </c>
      <c r="M380" s="379"/>
      <c r="N380" s="379">
        <f ca="1">IFERROR(__xludf.DUMMYFUNCTION("IMPORTRANGE(""https://docs.google.com/spreadsheets/d/1IYY_tgx_IHuhSq3AJ5eI5OnqOPBNLWSHKh2a30DoXe8/edit?usp=sharing"",""พังงา!M275"")"),427400)</f>
        <v>427400</v>
      </c>
      <c r="O380" s="379">
        <f ca="1">+IF(L380&gt;0,N380*100/L380,0)</f>
        <v>92.88477419915678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IFERROR(__xludf.DUMMYFUNCTION("IMPORTRANGE(""https://docs.google.com/spreadsheets/d/1IYY_tgx_IHuhSq3AJ5eI5OnqOPBNLWSHKh2a30DoXe8/edit?usp=sharing"",""พังงา!I276"")"),50)</f>
        <v>50</v>
      </c>
      <c r="J381" s="377">
        <f ca="1">IFERROR(__xludf.DUMMYFUNCTION("IMPORTRANGE(""https://docs.google.com/spreadsheets/d/1IYY_tgx_IHuhSq3AJ5eI5OnqOPBNLWSHKh2a30DoXe8/edit?usp=sharing"",""พังงา!J276"")"),50)</f>
        <v>50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IFERROR(__xludf.DUMMYFUNCTION("IMPORTRANGE(""https://docs.google.com/spreadsheets/d/1IYY_tgx_IHuhSq3AJ5eI5OnqOPBNLWSHKh2a30DoXe8/edit?usp=sharing"",""พังงา!L277"")"),0)</f>
        <v>0</v>
      </c>
      <c r="M382" s="168"/>
      <c r="N382" s="168">
        <f ca="1">IFERROR(__xludf.DUMMYFUNCTION("IMPORTRANGE(""https://docs.google.com/spreadsheets/d/1IYY_tgx_IHuhSq3AJ5eI5OnqOPBNLWSHKh2a30DoXe8/edit?usp=sharing"",""พังงา!M277"")"),0)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IFERROR(__xludf.DUMMYFUNCTION("IMPORTRANGE(""https://docs.google.com/spreadsheets/d/1IYY_tgx_IHuhSq3AJ5eI5OnqOPBNLWSHKh2a30DoXe8/edit?usp=sharing"",""พังงา!L278"")"),460140)</f>
        <v>460140</v>
      </c>
      <c r="M383" s="169"/>
      <c r="N383" s="169">
        <f ca="1">IFERROR(__xludf.DUMMYFUNCTION("IMPORTRANGE(""https://docs.google.com/spreadsheets/d/1IYY_tgx_IHuhSq3AJ5eI5OnqOPBNLWSHKh2a30DoXe8/edit?usp=sharing"",""พังงา!M278"")"),427400)</f>
        <v>427400</v>
      </c>
      <c r="O383" s="169">
        <f t="shared" ca="1" si="109"/>
        <v>92.88477419915678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IFERROR(__xludf.DUMMYFUNCTION("IMPORTRANGE(""https://docs.google.com/spreadsheets/d/1IYY_tgx_IHuhSq3AJ5eI5OnqOPBNLWSHKh2a30DoXe8/edit?usp=sharing"",""พังงา!L279"")"),0)</f>
        <v>0</v>
      </c>
      <c r="M384" s="175"/>
      <c r="N384" s="175">
        <f ca="1">IFERROR(__xludf.DUMMYFUNCTION("IMPORTRANGE(""https://docs.google.com/spreadsheets/d/1IYY_tgx_IHuhSq3AJ5eI5OnqOPBNLWSHKh2a30DoXe8/edit?usp=sharing"",""พังงา!M279"")"),0)</f>
        <v>0</v>
      </c>
      <c r="O384" s="175">
        <f t="shared" ca="1" si="109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IFERROR(__xludf.DUMMYFUNCTION("IMPORTRANGE(""https://docs.google.com/spreadsheets/d/1IYY_tgx_IHuhSq3AJ5eI5OnqOPBNLWSHKh2a30DoXe8/edit?usp=sharing"",""พังงา!L280"")"),460140)</f>
        <v>460140</v>
      </c>
      <c r="M385" s="175"/>
      <c r="N385" s="172">
        <f ca="1">IFERROR(__xludf.DUMMYFUNCTION("IMPORTRANGE(""https://docs.google.com/spreadsheets/d/1IYY_tgx_IHuhSq3AJ5eI5OnqOPBNLWSHKh2a30DoXe8/edit?usp=sharing"",""พังงา!M280"")"),427400)</f>
        <v>427400</v>
      </c>
      <c r="O385" s="175">
        <f t="shared" ca="1" si="109"/>
        <v>92.88477419915678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IFERROR(__xludf.DUMMYFUNCTION("IMPORTRANGE(""https://docs.google.com/spreadsheets/d/1IYY_tgx_IHuhSq3AJ5eI5OnqOPBNLWSHKh2a30DoXe8/edit?usp=sharing"",""พังงา!M281"")"),101210)</f>
        <v>101210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IFERROR(__xludf.DUMMYFUNCTION("IMPORTRANGE(""https://docs.google.com/spreadsheets/d/1IYY_tgx_IHuhSq3AJ5eI5OnqOPBNLWSHKh2a30DoXe8/edit?usp=sharing"",""พังงา!M282"")"),312500)</f>
        <v>312500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IFERROR(__xludf.DUMMYFUNCTION("IMPORTRANGE(""https://docs.google.com/spreadsheets/d/1IYY_tgx_IHuhSq3AJ5eI5OnqOPBNLWSHKh2a30DoXe8/edit?usp=sharing"",""พังงา!M283"")"),0)</f>
        <v>0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IFERROR(__xludf.DUMMYFUNCTION("IMPORTRANGE(""https://docs.google.com/spreadsheets/d/1IYY_tgx_IHuhSq3AJ5eI5OnqOPBNLWSHKh2a30DoXe8/edit?usp=sharing"",""พังงา!M284"")"),13690)</f>
        <v>13690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IFERROR(__xludf.DUMMYFUNCTION("IMPORTRANGE(""https://docs.google.com/spreadsheets/d/1IYY_tgx_IHuhSq3AJ5eI5OnqOPBNLWSHKh2a30DoXe8/edit?usp=sharing"",""พังงา!J286"")"),0)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IFERROR(__xludf.DUMMYFUNCTION("IMPORTRANGE(""https://docs.google.com/spreadsheets/d/1IYY_tgx_IHuhSq3AJ5eI5OnqOPBNLWSHKh2a30DoXe8/edit?usp=sharing"",""พังงา!J287"")"),1)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IFERROR(__xludf.DUMMYFUNCTION("IMPORTRANGE(""https://docs.google.com/spreadsheets/d/1IYY_tgx_IHuhSq3AJ5eI5OnqOPBNLWSHKh2a30DoXe8/edit?usp=sharing"",""พังงา!J288"")"),1)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IFERROR(__xludf.DUMMYFUNCTION("IMPORTRANGE(""https://docs.google.com/spreadsheets/d/1IYY_tgx_IHuhSq3AJ5eI5OnqOPBNLWSHKh2a30DoXe8/edit?usp=sharing"",""พังงา!J289"")"),1)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IFERROR(__xludf.DUMMYFUNCTION("IMPORTRANGE(""https://docs.google.com/spreadsheets/d/1IYY_tgx_IHuhSq3AJ5eI5OnqOPBNLWSHKh2a30DoXe8/edit?usp=sharing"",""พังงา!I291"")"),50)</f>
        <v>50</v>
      </c>
      <c r="J396" s="204">
        <f ca="1">IFERROR(__xludf.DUMMYFUNCTION("IMPORTRANGE(""https://docs.google.com/spreadsheets/d/1IYY_tgx_IHuhSq3AJ5eI5OnqOPBNLWSHKh2a30DoXe8/edit?usp=sharing"",""พังงา!J291"")"),50)</f>
        <v>50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IFERROR(__xludf.DUMMYFUNCTION("IMPORTRANGE(""https://docs.google.com/spreadsheets/d/1IYY_tgx_IHuhSq3AJ5eI5OnqOPBNLWSHKh2a30DoXe8/edit?usp=sharing"",""พังงา!I292"")"),500)</f>
        <v>500</v>
      </c>
      <c r="J397" s="204">
        <f ca="1">IFERROR(__xludf.DUMMYFUNCTION("IMPORTRANGE(""https://docs.google.com/spreadsheets/d/1IYY_tgx_IHuhSq3AJ5eI5OnqOPBNLWSHKh2a30DoXe8/edit?usp=sharing"",""พังงา!J292"")"),500)</f>
        <v>500</v>
      </c>
      <c r="K397" s="167">
        <f t="shared" ca="1" si="110"/>
        <v>100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IFERROR(__xludf.DUMMYFUNCTION("IMPORTRANGE(""https://docs.google.com/spreadsheets/d/1IYY_tgx_IHuhSq3AJ5eI5OnqOPBNLWSHKh2a30DoXe8/edit?usp=sharing"",""พังงา!I293"")"),50)</f>
        <v>50</v>
      </c>
      <c r="J398" s="204">
        <f ca="1">IFERROR(__xludf.DUMMYFUNCTION("IMPORTRANGE(""https://docs.google.com/spreadsheets/d/1IYY_tgx_IHuhSq3AJ5eI5OnqOPBNLWSHKh2a30DoXe8/edit?usp=sharing"",""พังงา!J293"")"),50)</f>
        <v>50</v>
      </c>
      <c r="K398" s="167">
        <f t="shared" ca="1" si="110"/>
        <v>100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IFERROR(__xludf.DUMMYFUNCTION("IMPORTRANGE(""https://docs.google.com/spreadsheets/d/1IYY_tgx_IHuhSq3AJ5eI5OnqOPBNLWSHKh2a30DoXe8/edit?usp=sharing"",""พังงา!J294"")"),0)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IFERROR(__xludf.DUMMYFUNCTION("IMPORTRANGE(""https://docs.google.com/spreadsheets/d/1IYY_tgx_IHuhSq3AJ5eI5OnqOPBNLWSHKh2a30DoXe8/edit?usp=sharing"",""พังงา!J295"")"),0)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IFERROR(__xludf.DUMMYFUNCTION("IMPORTRANGE(""https://docs.google.com/spreadsheets/d/1IYY_tgx_IHuhSq3AJ5eI5OnqOPBNLWSHKh2a30DoXe8/edit?usp=sharing"",""พังงา!I296"")"),90)</f>
        <v>90</v>
      </c>
      <c r="J401" s="377">
        <f ca="1">IFERROR(__xludf.DUMMYFUNCTION("IMPORTRANGE(""https://docs.google.com/spreadsheets/d/1IYY_tgx_IHuhSq3AJ5eI5OnqOPBNLWSHKh2a30DoXe8/edit?usp=sharing"",""พังงา!J296"")"),90)</f>
        <v>90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IFERROR(__xludf.DUMMYFUNCTION("IMPORTRANGE(""https://docs.google.com/spreadsheets/d/1IYY_tgx_IHuhSq3AJ5eI5OnqOPBNLWSHKh2a30DoXe8/edit?usp=sharing"",""พังงา!L296"")"),116320)</f>
        <v>116320</v>
      </c>
      <c r="M401" s="379"/>
      <c r="N401" s="379">
        <f ca="1">IFERROR(__xludf.DUMMYFUNCTION("IMPORTRANGE(""https://docs.google.com/spreadsheets/d/1IYY_tgx_IHuhSq3AJ5eI5OnqOPBNLWSHKh2a30DoXe8/edit?usp=sharing"",""พังงา!M296"")"),103297)</f>
        <v>103297</v>
      </c>
      <c r="O401" s="379">
        <f ca="1">+IF(L401&gt;0,N401*100/L401,0)</f>
        <v>88.804160935350751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IFERROR(__xludf.DUMMYFUNCTION("IMPORTRANGE(""https://docs.google.com/spreadsheets/d/1IYY_tgx_IHuhSq3AJ5eI5OnqOPBNLWSHKh2a30DoXe8/edit?usp=sharing"",""พังงา!I297"")"),30)</f>
        <v>30</v>
      </c>
      <c r="J402" s="377">
        <f ca="1">IFERROR(__xludf.DUMMYFUNCTION("IMPORTRANGE(""https://docs.google.com/spreadsheets/d/1IYY_tgx_IHuhSq3AJ5eI5OnqOPBNLWSHKh2a30DoXe8/edit?usp=sharing"",""พังงา!J297"")"),30)</f>
        <v>30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IFERROR(__xludf.DUMMYFUNCTION("IMPORTRANGE(""https://docs.google.com/spreadsheets/d/1IYY_tgx_IHuhSq3AJ5eI5OnqOPBNLWSHKh2a30DoXe8/edit?usp=sharing"",""พังงา!L298"")"),0)</f>
        <v>0</v>
      </c>
      <c r="M403" s="168"/>
      <c r="N403" s="175">
        <f ca="1">IFERROR(__xludf.DUMMYFUNCTION("IMPORTRANGE(""https://docs.google.com/spreadsheets/d/1IYY_tgx_IHuhSq3AJ5eI5OnqOPBNLWSHKh2a30DoXe8/edit?usp=sharing"",""พังงา!M298"")"),0)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IFERROR(__xludf.DUMMYFUNCTION("IMPORTRANGE(""https://docs.google.com/spreadsheets/d/1IYY_tgx_IHuhSq3AJ5eI5OnqOPBNLWSHKh2a30DoXe8/edit?usp=sharing"",""พังงา!L299"")"),116320)</f>
        <v>116320</v>
      </c>
      <c r="M404" s="169"/>
      <c r="N404" s="175">
        <f ca="1">IFERROR(__xludf.DUMMYFUNCTION("IMPORTRANGE(""https://docs.google.com/spreadsheets/d/1IYY_tgx_IHuhSq3AJ5eI5OnqOPBNLWSHKh2a30DoXe8/edit?usp=sharing"",""พังงา!M299"")"),103297)</f>
        <v>103297</v>
      </c>
      <c r="O404" s="175">
        <f t="shared" ca="1" si="112"/>
        <v>88.804160935350751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IFERROR(__xludf.DUMMYFUNCTION("IMPORTRANGE(""https://docs.google.com/spreadsheets/d/1IYY_tgx_IHuhSq3AJ5eI5OnqOPBNLWSHKh2a30DoXe8/edit?usp=sharing"",""พังงา!L300"")"),0)</f>
        <v>0</v>
      </c>
      <c r="M405" s="175"/>
      <c r="N405" s="175">
        <f ca="1">IFERROR(__xludf.DUMMYFUNCTION("IMPORTRANGE(""https://docs.google.com/spreadsheets/d/1IYY_tgx_IHuhSq3AJ5eI5OnqOPBNLWSHKh2a30DoXe8/edit?usp=sharing"",""พังงา!M300"")"),0)</f>
        <v>0</v>
      </c>
      <c r="O405" s="175">
        <f t="shared" ca="1" si="112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IFERROR(__xludf.DUMMYFUNCTION("IMPORTRANGE(""https://docs.google.com/spreadsheets/d/1IYY_tgx_IHuhSq3AJ5eI5OnqOPBNLWSHKh2a30DoXe8/edit?usp=sharing"",""พังงา!L301"")"),116320)</f>
        <v>116320</v>
      </c>
      <c r="M406" s="175"/>
      <c r="N406" s="175">
        <f ca="1">IFERROR(__xludf.DUMMYFUNCTION("IMPORTRANGE(""https://docs.google.com/spreadsheets/d/1IYY_tgx_IHuhSq3AJ5eI5OnqOPBNLWSHKh2a30DoXe8/edit?usp=sharing"",""พังงา!M301"")"),103297)</f>
        <v>103297</v>
      </c>
      <c r="O406" s="175">
        <f t="shared" ca="1" si="112"/>
        <v>88.804160935350751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IFERROR(__xludf.DUMMYFUNCTION("IMPORTRANGE(""https://docs.google.com/spreadsheets/d/1IYY_tgx_IHuhSq3AJ5eI5OnqOPBNLWSHKh2a30DoXe8/edit?usp=sharing"",""พังงา!M302"")"),64045)</f>
        <v>64045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IFERROR(__xludf.DUMMYFUNCTION("IMPORTRANGE(""https://docs.google.com/spreadsheets/d/1IYY_tgx_IHuhSq3AJ5eI5OnqOPBNLWSHKh2a30DoXe8/edit?usp=sharing"",""พังงา!M303"")"),22000)</f>
        <v>22000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IFERROR(__xludf.DUMMYFUNCTION("IMPORTRANGE(""https://docs.google.com/spreadsheets/d/1IYY_tgx_IHuhSq3AJ5eI5OnqOPBNLWSHKh2a30DoXe8/edit?usp=sharing"",""พังงา!M304"")"),0)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IFERROR(__xludf.DUMMYFUNCTION("IMPORTRANGE(""https://docs.google.com/spreadsheets/d/1IYY_tgx_IHuhSq3AJ5eI5OnqOPBNLWSHKh2a30DoXe8/edit?usp=sharing"",""พังงา!M305"")"),17252)</f>
        <v>17252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IFERROR(__xludf.DUMMYFUNCTION("IMPORTRANGE(""https://docs.google.com/spreadsheets/d/1IYY_tgx_IHuhSq3AJ5eI5OnqOPBNLWSHKh2a30DoXe8/edit?usp=sharing"",""พังงา!J307"")"),0)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IFERROR(__xludf.DUMMYFUNCTION("IMPORTRANGE(""https://docs.google.com/spreadsheets/d/1IYY_tgx_IHuhSq3AJ5eI5OnqOPBNLWSHKh2a30DoXe8/edit?usp=sharing"",""พังงา!J308"")"),1)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IFERROR(__xludf.DUMMYFUNCTION("IMPORTRANGE(""https://docs.google.com/spreadsheets/d/1IYY_tgx_IHuhSq3AJ5eI5OnqOPBNLWSHKh2a30DoXe8/edit?usp=sharing"",""พังงา!J309"")"),1)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IFERROR(__xludf.DUMMYFUNCTION("IMPORTRANGE(""https://docs.google.com/spreadsheets/d/1IYY_tgx_IHuhSq3AJ5eI5OnqOPBNLWSHKh2a30DoXe8/edit?usp=sharing"",""พังงา!J310"")"),1)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IFERROR(__xludf.DUMMYFUNCTION("IMPORTRANGE(""https://docs.google.com/spreadsheets/d/1IYY_tgx_IHuhSq3AJ5eI5OnqOPBNLWSHKh2a30DoXe8/edit?usp=sharing"",""พังงา!I311"")"),30)</f>
        <v>30</v>
      </c>
      <c r="J416" s="207">
        <f ca="1">IFERROR(__xludf.DUMMYFUNCTION("IMPORTRANGE(""https://docs.google.com/spreadsheets/d/1IYY_tgx_IHuhSq3AJ5eI5OnqOPBNLWSHKh2a30DoXe8/edit?usp=sharing"",""พังงา!J311"")"),30)</f>
        <v>30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IFERROR(__xludf.DUMMYFUNCTION("IMPORTRANGE(""https://docs.google.com/spreadsheets/d/1IYY_tgx_IHuhSq3AJ5eI5OnqOPBNLWSHKh2a30DoXe8/edit?usp=sharing"",""พังงา!I312"")"),10)</f>
        <v>10</v>
      </c>
      <c r="J417" s="398">
        <f ca="1">IFERROR(__xludf.DUMMYFUNCTION("IMPORTRANGE(""https://docs.google.com/spreadsheets/d/1IYY_tgx_IHuhSq3AJ5eI5OnqOPBNLWSHKh2a30DoXe8/edit?usp=sharing"",""พังงา!J312"")"),10)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IFERROR(__xludf.DUMMYFUNCTION("IMPORTRANGE(""https://docs.google.com/spreadsheets/d/1IYY_tgx_IHuhSq3AJ5eI5OnqOPBNLWSHKh2a30DoXe8/edit?usp=sharing"",""พังงา!I313"")"),30)</f>
        <v>30</v>
      </c>
      <c r="J418" s="399">
        <f ca="1">IFERROR(__xludf.DUMMYFUNCTION("IMPORTRANGE(""https://docs.google.com/spreadsheets/d/1IYY_tgx_IHuhSq3AJ5eI5OnqOPBNLWSHKh2a30DoXe8/edit?usp=sharing"",""พังงา!J313"")"),30)</f>
        <v>30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IFERROR(__xludf.DUMMYFUNCTION("IMPORTRANGE(""https://docs.google.com/spreadsheets/d/1IYY_tgx_IHuhSq3AJ5eI5OnqOPBNLWSHKh2a30DoXe8/edit?usp=sharing"",""พังงา!I314"")"),10)</f>
        <v>10</v>
      </c>
      <c r="J419" s="400">
        <f ca="1">IFERROR(__xludf.DUMMYFUNCTION("IMPORTRANGE(""https://docs.google.com/spreadsheets/d/1IYY_tgx_IHuhSq3AJ5eI5OnqOPBNLWSHKh2a30DoXe8/edit?usp=sharing"",""พังงา!J314"")"),10)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IFERROR(__xludf.DUMMYFUNCTION("IMPORTRANGE(""https://docs.google.com/spreadsheets/d/1IYY_tgx_IHuhSq3AJ5eI5OnqOPBNLWSHKh2a30DoXe8/edit?usp=sharing"",""พังงา!I315"")"),10)</f>
        <v>10</v>
      </c>
      <c r="J420" s="400">
        <f ca="1">IFERROR(__xludf.DUMMYFUNCTION("IMPORTRANGE(""https://docs.google.com/spreadsheets/d/1IYY_tgx_IHuhSq3AJ5eI5OnqOPBNLWSHKh2a30DoXe8/edit?usp=sharing"",""พังงา!J315"")"),10)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IFERROR(__xludf.DUMMYFUNCTION("IMPORTRANGE(""https://docs.google.com/spreadsheets/d/1IYY_tgx_IHuhSq3AJ5eI5OnqOPBNLWSHKh2a30DoXe8/edit?usp=sharing"",""พังงา!I316"")"),10)</f>
        <v>10</v>
      </c>
      <c r="J421" s="398">
        <f ca="1">IFERROR(__xludf.DUMMYFUNCTION("IMPORTRANGE(""https://docs.google.com/spreadsheets/d/1IYY_tgx_IHuhSq3AJ5eI5OnqOPBNLWSHKh2a30DoXe8/edit?usp=sharing"",""พังงา!J316"")"),10)</f>
        <v>10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IFERROR(__xludf.DUMMYFUNCTION("IMPORTRANGE(""https://docs.google.com/spreadsheets/d/1IYY_tgx_IHuhSq3AJ5eI5OnqOPBNLWSHKh2a30DoXe8/edit?usp=sharing"",""พังงา!I317"")"),30)</f>
        <v>30</v>
      </c>
      <c r="J422" s="399">
        <f ca="1">IFERROR(__xludf.DUMMYFUNCTION("IMPORTRANGE(""https://docs.google.com/spreadsheets/d/1IYY_tgx_IHuhSq3AJ5eI5OnqOPBNLWSHKh2a30DoXe8/edit?usp=sharing"",""พังงา!J317"")"),30)</f>
        <v>30</v>
      </c>
      <c r="K422" s="208">
        <f t="shared" ca="1" si="113"/>
        <v>100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IFERROR(__xludf.DUMMYFUNCTION("IMPORTRANGE(""https://docs.google.com/spreadsheets/d/1IYY_tgx_IHuhSq3AJ5eI5OnqOPBNLWSHKh2a30DoXe8/edit?usp=sharing"",""พังงา!I318"")"),10)</f>
        <v>10</v>
      </c>
      <c r="J423" s="400">
        <f ca="1">IFERROR(__xludf.DUMMYFUNCTION("IMPORTRANGE(""https://docs.google.com/spreadsheets/d/1IYY_tgx_IHuhSq3AJ5eI5OnqOPBNLWSHKh2a30DoXe8/edit?usp=sharing"",""พังงา!J318"")"),10)</f>
        <v>10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IFERROR(__xludf.DUMMYFUNCTION("IMPORTRANGE(""https://docs.google.com/spreadsheets/d/1IYY_tgx_IHuhSq3AJ5eI5OnqOPBNLWSHKh2a30DoXe8/edit?usp=sharing"",""พังงา!I319"")"),10)</f>
        <v>10</v>
      </c>
      <c r="J424" s="400">
        <f ca="1">IFERROR(__xludf.DUMMYFUNCTION("IMPORTRANGE(""https://docs.google.com/spreadsheets/d/1IYY_tgx_IHuhSq3AJ5eI5OnqOPBNLWSHKh2a30DoXe8/edit?usp=sharing"",""พังงา!J319"")"),10)</f>
        <v>10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IFERROR(__xludf.DUMMYFUNCTION("IMPORTRANGE(""https://docs.google.com/spreadsheets/d/1IYY_tgx_IHuhSq3AJ5eI5OnqOPBNLWSHKh2a30DoXe8/edit?usp=sharing"",""พังงา!I320"")"),10)</f>
        <v>10</v>
      </c>
      <c r="J425" s="400">
        <f ca="1">IFERROR(__xludf.DUMMYFUNCTION("IMPORTRANGE(""https://docs.google.com/spreadsheets/d/1IYY_tgx_IHuhSq3AJ5eI5OnqOPBNLWSHKh2a30DoXe8/edit?usp=sharing"",""พังงา!J320"")"),10)</f>
        <v>10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IFERROR(__xludf.DUMMYFUNCTION("IMPORTRANGE(""https://docs.google.com/spreadsheets/d/1IYY_tgx_IHuhSq3AJ5eI5OnqOPBNLWSHKh2a30DoXe8/edit?usp=sharing"",""พังงา!I321"")"),10)</f>
        <v>10</v>
      </c>
      <c r="J426" s="398">
        <f ca="1">IFERROR(__xludf.DUMMYFUNCTION("IMPORTRANGE(""https://docs.google.com/spreadsheets/d/1IYY_tgx_IHuhSq3AJ5eI5OnqOPBNLWSHKh2a30DoXe8/edit?usp=sharing"",""พังงา!J321"")"),10)</f>
        <v>10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IFERROR(__xludf.DUMMYFUNCTION("IMPORTRANGE(""https://docs.google.com/spreadsheets/d/1IYY_tgx_IHuhSq3AJ5eI5OnqOPBNLWSHKh2a30DoXe8/edit?usp=sharing"",""พังงา!I322"")"),30)</f>
        <v>30</v>
      </c>
      <c r="J427" s="399">
        <f ca="1">IFERROR(__xludf.DUMMYFUNCTION("IMPORTRANGE(""https://docs.google.com/spreadsheets/d/1IYY_tgx_IHuhSq3AJ5eI5OnqOPBNLWSHKh2a30DoXe8/edit?usp=sharing"",""พังงา!J322"")"),30)</f>
        <v>30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IFERROR(__xludf.DUMMYFUNCTION("IMPORTRANGE(""https://docs.google.com/spreadsheets/d/1IYY_tgx_IHuhSq3AJ5eI5OnqOPBNLWSHKh2a30DoXe8/edit?usp=sharing"",""พังงา!I323"")"),10)</f>
        <v>10</v>
      </c>
      <c r="J428" s="400">
        <f ca="1">IFERROR(__xludf.DUMMYFUNCTION("IMPORTRANGE(""https://docs.google.com/spreadsheets/d/1IYY_tgx_IHuhSq3AJ5eI5OnqOPBNLWSHKh2a30DoXe8/edit?usp=sharing"",""พังงา!J323"")"),10)</f>
        <v>10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IFERROR(__xludf.DUMMYFUNCTION("IMPORTRANGE(""https://docs.google.com/spreadsheets/d/1IYY_tgx_IHuhSq3AJ5eI5OnqOPBNLWSHKh2a30DoXe8/edit?usp=sharing"",""พังงา!I324"")"),10)</f>
        <v>10</v>
      </c>
      <c r="J429" s="400">
        <f ca="1">IFERROR(__xludf.DUMMYFUNCTION("IMPORTRANGE(""https://docs.google.com/spreadsheets/d/1IYY_tgx_IHuhSq3AJ5eI5OnqOPBNLWSHKh2a30DoXe8/edit?usp=sharing"",""พังงา!J324"")"),10)</f>
        <v>10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IFERROR(__xludf.DUMMYFUNCTION("IMPORTRANGE(""https://docs.google.com/spreadsheets/d/1IYY_tgx_IHuhSq3AJ5eI5OnqOPBNLWSHKh2a30DoXe8/edit?usp=sharing"",""พังงา!I325"")"),20)</f>
        <v>20</v>
      </c>
      <c r="J430" s="398">
        <f ca="1">IFERROR(__xludf.DUMMYFUNCTION("IMPORTRANGE(""https://docs.google.com/spreadsheets/d/1IYY_tgx_IHuhSq3AJ5eI5OnqOPBNLWSHKh2a30DoXe8/edit?usp=sharing"",""พังงา!J325"")"),0)</f>
        <v>0</v>
      </c>
      <c r="K430" s="208">
        <f t="shared" ca="1" si="113"/>
        <v>0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IFERROR(__xludf.DUMMYFUNCTION("IMPORTRANGE(""https://docs.google.com/spreadsheets/d/1IYY_tgx_IHuhSq3AJ5eI5OnqOPBNLWSHKh2a30DoXe8/edit?usp=sharing"",""พังงา!I326"")"),10)</f>
        <v>10</v>
      </c>
      <c r="J431" s="400">
        <f ca="1">IFERROR(__xludf.DUMMYFUNCTION("IMPORTRANGE(""https://docs.google.com/spreadsheets/d/1IYY_tgx_IHuhSq3AJ5eI5OnqOPBNLWSHKh2a30DoXe8/edit?usp=sharing"",""พังงา!J326"")"),0)</f>
        <v>0</v>
      </c>
      <c r="K431" s="167">
        <f t="shared" ca="1" si="113"/>
        <v>0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IFERROR(__xludf.DUMMYFUNCTION("IMPORTRANGE(""https://docs.google.com/spreadsheets/d/1IYY_tgx_IHuhSq3AJ5eI5OnqOPBNLWSHKh2a30DoXe8/edit?usp=sharing"",""พังงา!I327"")"),10)</f>
        <v>10</v>
      </c>
      <c r="J432" s="400">
        <f ca="1">IFERROR(__xludf.DUMMYFUNCTION("IMPORTRANGE(""https://docs.google.com/spreadsheets/d/1IYY_tgx_IHuhSq3AJ5eI5OnqOPBNLWSHKh2a30DoXe8/edit?usp=sharing"",""พังงา!J327"")"),0)</f>
        <v>0</v>
      </c>
      <c r="K432" s="167">
        <f t="shared" ca="1" si="113"/>
        <v>0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IFERROR(__xludf.DUMMYFUNCTION("IMPORTRANGE(""https://docs.google.com/spreadsheets/d/1IYY_tgx_IHuhSq3AJ5eI5OnqOPBNLWSHKh2a30DoXe8/edit?usp=sharing"",""พังงา!J328"")"),0)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IFERROR(__xludf.DUMMYFUNCTION("IMPORTRANGE(""https://docs.google.com/spreadsheets/d/1IYY_tgx_IHuhSq3AJ5eI5OnqOPBNLWSHKh2a30DoXe8/edit?usp=sharing"",""พังงา!J329"")"),0)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IFERROR(__xludf.DUMMYFUNCTION("IMPORTRANGE(""https://docs.google.com/spreadsheets/d/1IYY_tgx_IHuhSq3AJ5eI5OnqOPBNLWSHKh2a30DoXe8/edit?usp=sharing"",""พังงา!I330"")"),15)</f>
        <v>15</v>
      </c>
      <c r="J435" s="416">
        <f ca="1">IFERROR(__xludf.DUMMYFUNCTION("IMPORTRANGE(""https://docs.google.com/spreadsheets/d/1IYY_tgx_IHuhSq3AJ5eI5OnqOPBNLWSHKh2a30DoXe8/edit?usp=sharing"",""พังงา!J330"")"),15)</f>
        <v>15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IFERROR(__xludf.DUMMYFUNCTION("IMPORTRANGE(""https://docs.google.com/spreadsheets/d/1IYY_tgx_IHuhSq3AJ5eI5OnqOPBNLWSHKh2a30DoXe8/edit?usp=sharing"",""พังงา!L330"")"),88000)</f>
        <v>88000</v>
      </c>
      <c r="M435" s="418"/>
      <c r="N435" s="418">
        <f ca="1">IFERROR(__xludf.DUMMYFUNCTION("IMPORTRANGE(""https://docs.google.com/spreadsheets/d/1IYY_tgx_IHuhSq3AJ5eI5OnqOPBNLWSHKh2a30DoXe8/edit?usp=sharing"",""พังงา!M330"")"),49600)</f>
        <v>49600</v>
      </c>
      <c r="O435" s="418">
        <f t="shared" ref="O435:O439" ca="1" si="114">+IF(L435&gt;0,N435*100/L435,0)</f>
        <v>56.363636363636367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IFERROR(__xludf.DUMMYFUNCTION("IMPORTRANGE(""https://docs.google.com/spreadsheets/d/1IYY_tgx_IHuhSq3AJ5eI5OnqOPBNLWSHKh2a30DoXe8/edit?usp=sharing"",""พังงา!L331"")"),0)</f>
        <v>0</v>
      </c>
      <c r="M436" s="168"/>
      <c r="N436" s="175">
        <f ca="1">IFERROR(__xludf.DUMMYFUNCTION("IMPORTRANGE(""https://docs.google.com/spreadsheets/d/1IYY_tgx_IHuhSq3AJ5eI5OnqOPBNLWSHKh2a30DoXe8/edit?usp=sharing"",""พังงา!M331"")"),0)</f>
        <v>0</v>
      </c>
      <c r="O436" s="175">
        <f t="shared" ca="1" si="114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IFERROR(__xludf.DUMMYFUNCTION("IMPORTRANGE(""https://docs.google.com/spreadsheets/d/1IYY_tgx_IHuhSq3AJ5eI5OnqOPBNLWSHKh2a30DoXe8/edit?usp=sharing"",""พังงา!L332"")"),88000)</f>
        <v>88000</v>
      </c>
      <c r="M437" s="169"/>
      <c r="N437" s="175">
        <f ca="1">IFERROR(__xludf.DUMMYFUNCTION("IMPORTRANGE(""https://docs.google.com/spreadsheets/d/1IYY_tgx_IHuhSq3AJ5eI5OnqOPBNLWSHKh2a30DoXe8/edit?usp=sharing"",""พังงา!M332"")"),49600)</f>
        <v>49600</v>
      </c>
      <c r="O437" s="175">
        <f t="shared" ca="1" si="114"/>
        <v>56.363636363636367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IFERROR(__xludf.DUMMYFUNCTION("IMPORTRANGE(""https://docs.google.com/spreadsheets/d/1IYY_tgx_IHuhSq3AJ5eI5OnqOPBNLWSHKh2a30DoXe8/edit?usp=sharing"",""พังงา!L333"")"),0)</f>
        <v>0</v>
      </c>
      <c r="M438" s="175"/>
      <c r="N438" s="175">
        <f ca="1">IFERROR(__xludf.DUMMYFUNCTION("IMPORTRANGE(""https://docs.google.com/spreadsheets/d/1IYY_tgx_IHuhSq3AJ5eI5OnqOPBNLWSHKh2a30DoXe8/edit?usp=sharing"",""พังงา!M333"")"),0)</f>
        <v>0</v>
      </c>
      <c r="O438" s="175">
        <f t="shared" ca="1" si="114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IFERROR(__xludf.DUMMYFUNCTION("IMPORTRANGE(""https://docs.google.com/spreadsheets/d/1IYY_tgx_IHuhSq3AJ5eI5OnqOPBNLWSHKh2a30DoXe8/edit?usp=sharing"",""พังงา!L334"")"),88000)</f>
        <v>88000</v>
      </c>
      <c r="M439" s="175"/>
      <c r="N439" s="175">
        <f ca="1">IFERROR(__xludf.DUMMYFUNCTION("IMPORTRANGE(""https://docs.google.com/spreadsheets/d/1IYY_tgx_IHuhSq3AJ5eI5OnqOPBNLWSHKh2a30DoXe8/edit?usp=sharing"",""พังงา!M334"")"),49600)</f>
        <v>49600</v>
      </c>
      <c r="O439" s="175">
        <f t="shared" ca="1" si="114"/>
        <v>56.363636363636367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IFERROR(__xludf.DUMMYFUNCTION("IMPORTRANGE(""https://docs.google.com/spreadsheets/d/1IYY_tgx_IHuhSq3AJ5eI5OnqOPBNLWSHKh2a30DoXe8/edit?usp=sharing"",""พังงา!M335"")"),32200)</f>
        <v>32200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IFERROR(__xludf.DUMMYFUNCTION("IMPORTRANGE(""https://docs.google.com/spreadsheets/d/1IYY_tgx_IHuhSq3AJ5eI5OnqOPBNLWSHKh2a30DoXe8/edit?usp=sharing"",""พังงา!M336"")"),0)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IFERROR(__xludf.DUMMYFUNCTION("IMPORTRANGE(""https://docs.google.com/spreadsheets/d/1IYY_tgx_IHuhSq3AJ5eI5OnqOPBNLWSHKh2a30DoXe8/edit?usp=sharing"",""พังงา!M337"")"),0)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IFERROR(__xludf.DUMMYFUNCTION("IMPORTRANGE(""https://docs.google.com/spreadsheets/d/1IYY_tgx_IHuhSq3AJ5eI5OnqOPBNLWSHKh2a30DoXe8/edit?usp=sharing"",""พังงา!M338"")"),17400)</f>
        <v>17400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IFERROR(__xludf.DUMMYFUNCTION("IMPORTRANGE(""https://docs.google.com/spreadsheets/d/1IYY_tgx_IHuhSq3AJ5eI5OnqOPBNLWSHKh2a30DoXe8/edit?usp=sharing"",""พังงา!J340"")"),0)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IFERROR(__xludf.DUMMYFUNCTION("IMPORTRANGE(""https://docs.google.com/spreadsheets/d/1IYY_tgx_IHuhSq3AJ5eI5OnqOPBNLWSHKh2a30DoXe8/edit?usp=sharing"",""พังงา!J341"")"),1)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IFERROR(__xludf.DUMMYFUNCTION("IMPORTRANGE(""https://docs.google.com/spreadsheets/d/1IYY_tgx_IHuhSq3AJ5eI5OnqOPBNLWSHKh2a30DoXe8/edit?usp=sharing"",""พังงา!J342"")"),1)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IFERROR(__xludf.DUMMYFUNCTION("IMPORTRANGE(""https://docs.google.com/spreadsheets/d/1IYY_tgx_IHuhSq3AJ5eI5OnqOPBNLWSHKh2a30DoXe8/edit?usp=sharing"",""พังงา!J343"")"),1)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IFERROR(__xludf.DUMMYFUNCTION("IMPORTRANGE(""https://docs.google.com/spreadsheets/d/1IYY_tgx_IHuhSq3AJ5eI5OnqOPBNLWSHKh2a30DoXe8/edit?usp=sharing"",""พังงา!I344"")"),15)</f>
        <v>15</v>
      </c>
      <c r="J449" s="207">
        <f ca="1">IFERROR(__xludf.DUMMYFUNCTION("IMPORTRANGE(""https://docs.google.com/spreadsheets/d/1IYY_tgx_IHuhSq3AJ5eI5OnqOPBNLWSHKh2a30DoXe8/edit?usp=sharing"",""พังงา!J344"")"),15)</f>
        <v>15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IFERROR(__xludf.DUMMYFUNCTION("IMPORTRANGE(""https://docs.google.com/spreadsheets/d/1IYY_tgx_IHuhSq3AJ5eI5OnqOPBNLWSHKh2a30DoXe8/edit?usp=sharing"",""พังงา!I345"")"),15)</f>
        <v>15</v>
      </c>
      <c r="J450" s="195">
        <f ca="1">IFERROR(__xludf.DUMMYFUNCTION("IMPORTRANGE(""https://docs.google.com/spreadsheets/d/1IYY_tgx_IHuhSq3AJ5eI5OnqOPBNLWSHKh2a30DoXe8/edit?usp=sharing"",""พังงา!J345"")"),15)</f>
        <v>15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IFERROR(__xludf.DUMMYFUNCTION("IMPORTRANGE(""https://docs.google.com/spreadsheets/d/1IYY_tgx_IHuhSq3AJ5eI5OnqOPBNLWSHKh2a30DoXe8/edit?usp=sharing"",""พังงา!I346"")"),0)</f>
        <v>0</v>
      </c>
      <c r="J451" s="194">
        <f ca="1">IFERROR(__xludf.DUMMYFUNCTION("IMPORTRANGE(""https://docs.google.com/spreadsheets/d/1IYY_tgx_IHuhSq3AJ5eI5OnqOPBNLWSHKh2a30DoXe8/edit?usp=sharing"",""พังงา!J346"")"),0)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IFERROR(__xludf.DUMMYFUNCTION("IMPORTRANGE(""https://docs.google.com/spreadsheets/d/1IYY_tgx_IHuhSq3AJ5eI5OnqOPBNLWSHKh2a30DoXe8/edit?usp=sharing"",""พังงา!I347"")"),0)</f>
        <v>0</v>
      </c>
      <c r="J452" s="194">
        <f ca="1">IFERROR(__xludf.DUMMYFUNCTION("IMPORTRANGE(""https://docs.google.com/spreadsheets/d/1IYY_tgx_IHuhSq3AJ5eI5OnqOPBNLWSHKh2a30DoXe8/edit?usp=sharing"",""พังงา!J347"")"),0)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IFERROR(__xludf.DUMMYFUNCTION("IMPORTRANGE(""https://docs.google.com/spreadsheets/d/1IYY_tgx_IHuhSq3AJ5eI5OnqOPBNLWSHKh2a30DoXe8/edit?usp=sharing"",""พังงา!J348"")"),0)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IFERROR(__xludf.DUMMYFUNCTION("IMPORTRANGE(""https://docs.google.com/spreadsheets/d/1IYY_tgx_IHuhSq3AJ5eI5OnqOPBNLWSHKh2a30DoXe8/edit?usp=sharing"",""พังงา!J349"")"),0)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IFERROR(__xludf.DUMMYFUNCTION("IMPORTRANGE(""https://docs.google.com/spreadsheets/d/1IYY_tgx_IHuhSq3AJ5eI5OnqOPBNLWSHKh2a30DoXe8/edit?usp=sharing"",""พังงา!I350"")"),20879)</f>
        <v>20879</v>
      </c>
      <c r="J455" s="377">
        <f ca="1">IFERROR(__xludf.DUMMYFUNCTION("IMPORTRANGE(""https://docs.google.com/spreadsheets/d/1IYY_tgx_IHuhSq3AJ5eI5OnqOPBNLWSHKh2a30DoXe8/edit?usp=sharing"",""พังงา!J350"")"),20614.27)</f>
        <v>20614.27</v>
      </c>
      <c r="K455" s="378">
        <f ca="1">IF(I455&gt;0,J455*100/I455,0)</f>
        <v>98.732075290962214</v>
      </c>
      <c r="L455" s="379">
        <f ca="1">IFERROR(__xludf.DUMMYFUNCTION("IMPORTRANGE(""https://docs.google.com/spreadsheets/d/1IYY_tgx_IHuhSq3AJ5eI5OnqOPBNLWSHKh2a30DoXe8/edit?usp=sharing"",""พังงา!L350"")"),165422)</f>
        <v>165422</v>
      </c>
      <c r="M455" s="379"/>
      <c r="N455" s="379">
        <f ca="1">IFERROR(__xludf.DUMMYFUNCTION("IMPORTRANGE(""https://docs.google.com/spreadsheets/d/1IYY_tgx_IHuhSq3AJ5eI5OnqOPBNLWSHKh2a30DoXe8/edit?usp=sharing"",""พังงา!M350"")"),66520)</f>
        <v>66520</v>
      </c>
      <c r="O455" s="379">
        <f t="shared" ref="O455:O459" ca="1" si="116">+IF(L455&gt;0,N455*100/L455,0)</f>
        <v>40.212305497454992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IFERROR(__xludf.DUMMYFUNCTION("IMPORTRANGE(""https://docs.google.com/spreadsheets/d/1IYY_tgx_IHuhSq3AJ5eI5OnqOPBNLWSHKh2a30DoXe8/edit?usp=sharing"",""พังงา!L351"")"),0)</f>
        <v>0</v>
      </c>
      <c r="M456" s="168"/>
      <c r="N456" s="175">
        <f ca="1">IFERROR(__xludf.DUMMYFUNCTION("IMPORTRANGE(""https://docs.google.com/spreadsheets/d/1IYY_tgx_IHuhSq3AJ5eI5OnqOPBNLWSHKh2a30DoXe8/edit?usp=sharing"",""พังงา!M351"")"),0)</f>
        <v>0</v>
      </c>
      <c r="O456" s="175">
        <f t="shared" ca="1" si="116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IFERROR(__xludf.DUMMYFUNCTION("IMPORTRANGE(""https://docs.google.com/spreadsheets/d/1IYY_tgx_IHuhSq3AJ5eI5OnqOPBNLWSHKh2a30DoXe8/edit?usp=sharing"",""พังงา!L352"")"),165422)</f>
        <v>165422</v>
      </c>
      <c r="M457" s="169"/>
      <c r="N457" s="175">
        <f ca="1">IFERROR(__xludf.DUMMYFUNCTION("IMPORTRANGE(""https://docs.google.com/spreadsheets/d/1IYY_tgx_IHuhSq3AJ5eI5OnqOPBNLWSHKh2a30DoXe8/edit?usp=sharing"",""พังงา!M352"")"),66520)</f>
        <v>66520</v>
      </c>
      <c r="O457" s="175">
        <f t="shared" ca="1" si="116"/>
        <v>40.212305497454992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IFERROR(__xludf.DUMMYFUNCTION("IMPORTRANGE(""https://docs.google.com/spreadsheets/d/1IYY_tgx_IHuhSq3AJ5eI5OnqOPBNLWSHKh2a30DoXe8/edit?usp=sharing"",""พังงา!L353"")"),0)</f>
        <v>0</v>
      </c>
      <c r="M458" s="175"/>
      <c r="N458" s="175">
        <f ca="1">IFERROR(__xludf.DUMMYFUNCTION("IMPORTRANGE(""https://docs.google.com/spreadsheets/d/1IYY_tgx_IHuhSq3AJ5eI5OnqOPBNLWSHKh2a30DoXe8/edit?usp=sharing"",""พังงา!M353"")"),0)</f>
        <v>0</v>
      </c>
      <c r="O458" s="175">
        <f t="shared" ca="1" si="116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IFERROR(__xludf.DUMMYFUNCTION("IMPORTRANGE(""https://docs.google.com/spreadsheets/d/1IYY_tgx_IHuhSq3AJ5eI5OnqOPBNLWSHKh2a30DoXe8/edit?usp=sharing"",""พังงา!L354"")"),165422)</f>
        <v>165422</v>
      </c>
      <c r="M459" s="175"/>
      <c r="N459" s="175">
        <f ca="1">IFERROR(__xludf.DUMMYFUNCTION("IMPORTRANGE(""https://docs.google.com/spreadsheets/d/1IYY_tgx_IHuhSq3AJ5eI5OnqOPBNLWSHKh2a30DoXe8/edit?usp=sharing"",""พังงา!M354"")"),66520)</f>
        <v>66520</v>
      </c>
      <c r="O459" s="175">
        <f t="shared" ca="1" si="116"/>
        <v>40.212305497454992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IFERROR(__xludf.DUMMYFUNCTION("IMPORTRANGE(""https://docs.google.com/spreadsheets/d/1IYY_tgx_IHuhSq3AJ5eI5OnqOPBNLWSHKh2a30DoXe8/edit?usp=sharing"",""พังงา!M355"")"),0)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IFERROR(__xludf.DUMMYFUNCTION("IMPORTRANGE(""https://docs.google.com/spreadsheets/d/1IYY_tgx_IHuhSq3AJ5eI5OnqOPBNLWSHKh2a30DoXe8/edit?usp=sharing"",""พังงา!M356"")"),0)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IFERROR(__xludf.DUMMYFUNCTION("IMPORTRANGE(""https://docs.google.com/spreadsheets/d/1IYY_tgx_IHuhSq3AJ5eI5OnqOPBNLWSHKh2a30DoXe8/edit?usp=sharing"",""พังงา!M357"")"),0)</f>
        <v>0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IFERROR(__xludf.DUMMYFUNCTION("IMPORTRANGE(""https://docs.google.com/spreadsheets/d/1IYY_tgx_IHuhSq3AJ5eI5OnqOPBNLWSHKh2a30DoXe8/edit?usp=sharing"",""พังงา!M358"")"),66520)</f>
        <v>66520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IFERROR(__xludf.DUMMYFUNCTION("IMPORTRANGE(""https://docs.google.com/spreadsheets/d/1IYY_tgx_IHuhSq3AJ5eI5OnqOPBNLWSHKh2a30DoXe8/edit?usp=sharing"",""พังงา!I359"")"),20879)</f>
        <v>20879</v>
      </c>
      <c r="J464" s="273">
        <f ca="1">IFERROR(__xludf.DUMMYFUNCTION("IMPORTRANGE(""https://docs.google.com/spreadsheets/d/1IYY_tgx_IHuhSq3AJ5eI5OnqOPBNLWSHKh2a30DoXe8/edit?usp=sharing"",""พังงา!J359"")"),20614.27)</f>
        <v>20614.27</v>
      </c>
      <c r="K464" s="274">
        <f t="shared" ref="K464:K515" ca="1" si="117">IF(I464&gt;0,J464*100/I464,0)</f>
        <v>98.732075290962214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IFERROR(__xludf.DUMMYFUNCTION("IMPORTRANGE(""https://docs.google.com/spreadsheets/d/1IYY_tgx_IHuhSq3AJ5eI5OnqOPBNLWSHKh2a30DoXe8/edit?usp=sharing"",""พังงา!I360"")"),20879)</f>
        <v>20879</v>
      </c>
      <c r="J465" s="426">
        <f ca="1">IFERROR(__xludf.DUMMYFUNCTION("IMPORTRANGE(""https://docs.google.com/spreadsheets/d/1IYY_tgx_IHuhSq3AJ5eI5OnqOPBNLWSHKh2a30DoXe8/edit?usp=sharing"",""พังงา!J360"")"),20879.33)</f>
        <v>20879.330000000002</v>
      </c>
      <c r="K465" s="208">
        <f t="shared" ca="1" si="117"/>
        <v>100.00158053546627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IFERROR(__xludf.DUMMYFUNCTION("IMPORTRANGE(""https://docs.google.com/spreadsheets/d/1IYY_tgx_IHuhSq3AJ5eI5OnqOPBNLWSHKh2a30DoXe8/edit?usp=sharing"",""พังงา!I361"")"),2093)</f>
        <v>2093</v>
      </c>
      <c r="J466" s="426">
        <f ca="1">IFERROR(__xludf.DUMMYFUNCTION("IMPORTRANGE(""https://docs.google.com/spreadsheets/d/1IYY_tgx_IHuhSq3AJ5eI5OnqOPBNLWSHKh2a30DoXe8/edit?usp=sharing"",""พังงา!J361"")"),2093)</f>
        <v>2093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IFERROR(__xludf.DUMMYFUNCTION("IMPORTRANGE(""https://docs.google.com/spreadsheets/d/1IYY_tgx_IHuhSq3AJ5eI5OnqOPBNLWSHKh2a30DoXe8/edit?usp=sharing"",""พังงา!I362"")"),0)</f>
        <v>0</v>
      </c>
      <c r="J467" s="195">
        <f ca="1">IFERROR(__xludf.DUMMYFUNCTION("IMPORTRANGE(""https://docs.google.com/spreadsheets/d/1IYY_tgx_IHuhSq3AJ5eI5OnqOPBNLWSHKh2a30DoXe8/edit?usp=sharing"",""พังงา!J362"")"),19998.83)</f>
        <v>19998.830000000002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IFERROR(__xludf.DUMMYFUNCTION("IMPORTRANGE(""https://docs.google.com/spreadsheets/d/1IYY_tgx_IHuhSq3AJ5eI5OnqOPBNLWSHKh2a30DoXe8/edit?usp=sharing"",""พังงา!I363"")"),0)</f>
        <v>0</v>
      </c>
      <c r="J468" s="195">
        <f ca="1">IFERROR(__xludf.DUMMYFUNCTION("IMPORTRANGE(""https://docs.google.com/spreadsheets/d/1IYY_tgx_IHuhSq3AJ5eI5OnqOPBNLWSHKh2a30DoXe8/edit?usp=sharing"",""พังงา!J363"")"),1988)</f>
        <v>1988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IFERROR(__xludf.DUMMYFUNCTION("IMPORTRANGE(""https://docs.google.com/spreadsheets/d/1IYY_tgx_IHuhSq3AJ5eI5OnqOPBNLWSHKh2a30DoXe8/edit?usp=sharing"",""พังงา!I364"")"),0)</f>
        <v>0</v>
      </c>
      <c r="J469" s="195">
        <f ca="1">IFERROR(__xludf.DUMMYFUNCTION("IMPORTRANGE(""https://docs.google.com/spreadsheets/d/1IYY_tgx_IHuhSq3AJ5eI5OnqOPBNLWSHKh2a30DoXe8/edit?usp=sharing"",""พังงา!J364"")"),539.73)</f>
        <v>539.73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IFERROR(__xludf.DUMMYFUNCTION("IMPORTRANGE(""https://docs.google.com/spreadsheets/d/1IYY_tgx_IHuhSq3AJ5eI5OnqOPBNLWSHKh2a30DoXe8/edit?usp=sharing"",""พังงา!I365"")"),0)</f>
        <v>0</v>
      </c>
      <c r="J470" s="195">
        <f ca="1">IFERROR(__xludf.DUMMYFUNCTION("IMPORTRANGE(""https://docs.google.com/spreadsheets/d/1IYY_tgx_IHuhSq3AJ5eI5OnqOPBNLWSHKh2a30DoXe8/edit?usp=sharing"",""พังงา!J365"")"),57)</f>
        <v>57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IFERROR(__xludf.DUMMYFUNCTION("IMPORTRANGE(""https://docs.google.com/spreadsheets/d/1IYY_tgx_IHuhSq3AJ5eI5OnqOPBNLWSHKh2a30DoXe8/edit?usp=sharing"",""พังงา!I366"")"),0)</f>
        <v>0</v>
      </c>
      <c r="J471" s="195">
        <f ca="1">IFERROR(__xludf.DUMMYFUNCTION("IMPORTRANGE(""https://docs.google.com/spreadsheets/d/1IYY_tgx_IHuhSq3AJ5eI5OnqOPBNLWSHKh2a30DoXe8/edit?usp=sharing"",""พังงา!J366"")"),340.77)</f>
        <v>340.77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IFERROR(__xludf.DUMMYFUNCTION("IMPORTRANGE(""https://docs.google.com/spreadsheets/d/1IYY_tgx_IHuhSq3AJ5eI5OnqOPBNLWSHKh2a30DoXe8/edit?usp=sharing"",""พังงา!I367"")"),0)</f>
        <v>0</v>
      </c>
      <c r="J472" s="195">
        <f ca="1">IFERROR(__xludf.DUMMYFUNCTION("IMPORTRANGE(""https://docs.google.com/spreadsheets/d/1IYY_tgx_IHuhSq3AJ5eI5OnqOPBNLWSHKh2a30DoXe8/edit?usp=sharing"",""พังงา!J367"")"),48)</f>
        <v>48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IFERROR(__xludf.DUMMYFUNCTION("IMPORTRANGE(""https://docs.google.com/spreadsheets/d/1IYY_tgx_IHuhSq3AJ5eI5OnqOPBNLWSHKh2a30DoXe8/edit?usp=sharing"",""พังงา!I368"")"),20879)</f>
        <v>20879</v>
      </c>
      <c r="J473" s="426">
        <f ca="1">IFERROR(__xludf.DUMMYFUNCTION("IMPORTRANGE(""https://docs.google.com/spreadsheets/d/1IYY_tgx_IHuhSq3AJ5eI5OnqOPBNLWSHKh2a30DoXe8/edit?usp=sharing"",""พังงา!J368"")"),20879.59)</f>
        <v>20879.59</v>
      </c>
      <c r="K473" s="208">
        <f t="shared" ca="1" si="117"/>
        <v>100.00282580583361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IFERROR(__xludf.DUMMYFUNCTION("IMPORTRANGE(""https://docs.google.com/spreadsheets/d/1IYY_tgx_IHuhSq3AJ5eI5OnqOPBNLWSHKh2a30DoXe8/edit?usp=sharing"",""พังงา!I369"")"),2093)</f>
        <v>2093</v>
      </c>
      <c r="J474" s="426">
        <f ca="1">IFERROR(__xludf.DUMMYFUNCTION("IMPORTRANGE(""https://docs.google.com/spreadsheets/d/1IYY_tgx_IHuhSq3AJ5eI5OnqOPBNLWSHKh2a30DoXe8/edit?usp=sharing"",""พังงา!J369"")"),2093)</f>
        <v>2093</v>
      </c>
      <c r="K474" s="208">
        <f t="shared" ca="1" si="117"/>
        <v>100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IFERROR(__xludf.DUMMYFUNCTION("IMPORTRANGE(""https://docs.google.com/spreadsheets/d/1IYY_tgx_IHuhSq3AJ5eI5OnqOPBNLWSHKh2a30DoXe8/edit?usp=sharing"",""พังงา!I370"")"),0)</f>
        <v>0</v>
      </c>
      <c r="J475" s="195">
        <f ca="1">IFERROR(__xludf.DUMMYFUNCTION("IMPORTRANGE(""https://docs.google.com/spreadsheets/d/1IYY_tgx_IHuhSq3AJ5eI5OnqOPBNLWSHKh2a30DoXe8/edit?usp=sharing"",""พังงา!J370"")"),20185.72)</f>
        <v>20185.72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IFERROR(__xludf.DUMMYFUNCTION("IMPORTRANGE(""https://docs.google.com/spreadsheets/d/1IYY_tgx_IHuhSq3AJ5eI5OnqOPBNLWSHKh2a30DoXe8/edit?usp=sharing"",""พังงา!I371"")"),0)</f>
        <v>0</v>
      </c>
      <c r="J476" s="195">
        <f ca="1">IFERROR(__xludf.DUMMYFUNCTION("IMPORTRANGE(""https://docs.google.com/spreadsheets/d/1IYY_tgx_IHuhSq3AJ5eI5OnqOPBNLWSHKh2a30DoXe8/edit?usp=sharing"",""พังงา!J371"")"),1998)</f>
        <v>1998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IFERROR(__xludf.DUMMYFUNCTION("IMPORTRANGE(""https://docs.google.com/spreadsheets/d/1IYY_tgx_IHuhSq3AJ5eI5OnqOPBNLWSHKh2a30DoXe8/edit?usp=sharing"",""พังงา!I372"")"),0)</f>
        <v>0</v>
      </c>
      <c r="J477" s="195">
        <f ca="1">IFERROR(__xludf.DUMMYFUNCTION("IMPORTRANGE(""https://docs.google.com/spreadsheets/d/1IYY_tgx_IHuhSq3AJ5eI5OnqOPBNLWSHKh2a30DoXe8/edit?usp=sharing"",""พังงา!J372"")"),338)</f>
        <v>338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IFERROR(__xludf.DUMMYFUNCTION("IMPORTRANGE(""https://docs.google.com/spreadsheets/d/1IYY_tgx_IHuhSq3AJ5eI5OnqOPBNLWSHKh2a30DoXe8/edit?usp=sharing"",""พังงา!I373"")"),0)</f>
        <v>0</v>
      </c>
      <c r="J478" s="195">
        <f ca="1">IFERROR(__xludf.DUMMYFUNCTION("IMPORTRANGE(""https://docs.google.com/spreadsheets/d/1IYY_tgx_IHuhSq3AJ5eI5OnqOPBNLWSHKh2a30DoXe8/edit?usp=sharing"",""พังงา!J373"")"),42)</f>
        <v>42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IFERROR(__xludf.DUMMYFUNCTION("IMPORTRANGE(""https://docs.google.com/spreadsheets/d/1IYY_tgx_IHuhSq3AJ5eI5OnqOPBNLWSHKh2a30DoXe8/edit?usp=sharing"",""พังงา!I374"")"),0)</f>
        <v>0</v>
      </c>
      <c r="J479" s="195">
        <f ca="1">IFERROR(__xludf.DUMMYFUNCTION("IMPORTRANGE(""https://docs.google.com/spreadsheets/d/1IYY_tgx_IHuhSq3AJ5eI5OnqOPBNLWSHKh2a30DoXe8/edit?usp=sharing"",""พังงา!J374"")"),355.87)</f>
        <v>355.87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IFERROR(__xludf.DUMMYFUNCTION("IMPORTRANGE(""https://docs.google.com/spreadsheets/d/1IYY_tgx_IHuhSq3AJ5eI5OnqOPBNLWSHKh2a30DoXe8/edit?usp=sharing"",""พังงา!I375"")"),0)</f>
        <v>0</v>
      </c>
      <c r="J480" s="195">
        <f ca="1">IFERROR(__xludf.DUMMYFUNCTION("IMPORTRANGE(""https://docs.google.com/spreadsheets/d/1IYY_tgx_IHuhSq3AJ5eI5OnqOPBNLWSHKh2a30DoXe8/edit?usp=sharing"",""พังงา!J375"")"),53)</f>
        <v>53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IFERROR(__xludf.DUMMYFUNCTION("IMPORTRANGE(""https://docs.google.com/spreadsheets/d/1IYY_tgx_IHuhSq3AJ5eI5OnqOPBNLWSHKh2a30DoXe8/edit?usp=sharing"",""พังงา!I376"")"),20879)</f>
        <v>20879</v>
      </c>
      <c r="J481" s="426">
        <f ca="1">IFERROR(__xludf.DUMMYFUNCTION("IMPORTRANGE(""https://docs.google.com/spreadsheets/d/1IYY_tgx_IHuhSq3AJ5eI5OnqOPBNLWSHKh2a30DoXe8/edit?usp=sharing"",""พังงา!J376"")"),20614.27)</f>
        <v>20614.27</v>
      </c>
      <c r="K481" s="208">
        <f t="shared" ca="1" si="117"/>
        <v>98.732075290962214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IFERROR(__xludf.DUMMYFUNCTION("IMPORTRANGE(""https://docs.google.com/spreadsheets/d/1IYY_tgx_IHuhSq3AJ5eI5OnqOPBNLWSHKh2a30DoXe8/edit?usp=sharing"",""พังงา!I377"")"),2093)</f>
        <v>2093</v>
      </c>
      <c r="J482" s="426">
        <f ca="1">IFERROR(__xludf.DUMMYFUNCTION("IMPORTRANGE(""https://docs.google.com/spreadsheets/d/1IYY_tgx_IHuhSq3AJ5eI5OnqOPBNLWSHKh2a30DoXe8/edit?usp=sharing"",""พังงา!J377"")"),2059)</f>
        <v>2059</v>
      </c>
      <c r="K482" s="208">
        <f t="shared" ca="1" si="117"/>
        <v>98.375537505972289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IFERROR(__xludf.DUMMYFUNCTION("IMPORTRANGE(""https://docs.google.com/spreadsheets/d/1IYY_tgx_IHuhSq3AJ5eI5OnqOPBNLWSHKh2a30DoXe8/edit?usp=sharing"",""พังงา!I378"")"),0)</f>
        <v>0</v>
      </c>
      <c r="J483" s="195">
        <f ca="1">IFERROR(__xludf.DUMMYFUNCTION("IMPORTRANGE(""https://docs.google.com/spreadsheets/d/1IYY_tgx_IHuhSq3AJ5eI5OnqOPBNLWSHKh2a30DoXe8/edit?usp=sharing"",""พังงา!J378"")"),20256.29)</f>
        <v>20256.29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IFERROR(__xludf.DUMMYFUNCTION("IMPORTRANGE(""https://docs.google.com/spreadsheets/d/1IYY_tgx_IHuhSq3AJ5eI5OnqOPBNLWSHKh2a30DoXe8/edit?usp=sharing"",""พังงา!I379"")"),0)</f>
        <v>0</v>
      </c>
      <c r="J484" s="195">
        <f ca="1">IFERROR(__xludf.DUMMYFUNCTION("IMPORTRANGE(""https://docs.google.com/spreadsheets/d/1IYY_tgx_IHuhSq3AJ5eI5OnqOPBNLWSHKh2a30DoXe8/edit?usp=sharing"",""พังงา!J379"")"),2005)</f>
        <v>2005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IFERROR(__xludf.DUMMYFUNCTION("IMPORTRANGE(""https://docs.google.com/spreadsheets/d/1IYY_tgx_IHuhSq3AJ5eI5OnqOPBNLWSHKh2a30DoXe8/edit?usp=sharing"",""พังงา!I380"")"),0)</f>
        <v>0</v>
      </c>
      <c r="J485" s="195">
        <f ca="1">IFERROR(__xludf.DUMMYFUNCTION("IMPORTRANGE(""https://docs.google.com/spreadsheets/d/1IYY_tgx_IHuhSq3AJ5eI5OnqOPBNLWSHKh2a30DoXe8/edit?usp=sharing"",""พังงา!J380"")"),0)</f>
        <v>0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IFERROR(__xludf.DUMMYFUNCTION("IMPORTRANGE(""https://docs.google.com/spreadsheets/d/1IYY_tgx_IHuhSq3AJ5eI5OnqOPBNLWSHKh2a30DoXe8/edit?usp=sharing"",""พังงา!I381"")"),0)</f>
        <v>0</v>
      </c>
      <c r="J486" s="195">
        <f ca="1">IFERROR(__xludf.DUMMYFUNCTION("IMPORTRANGE(""https://docs.google.com/spreadsheets/d/1IYY_tgx_IHuhSq3AJ5eI5OnqOPBNLWSHKh2a30DoXe8/edit?usp=sharing"",""พังงา!J381"")"),0)</f>
        <v>0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IFERROR(__xludf.DUMMYFUNCTION("IMPORTRANGE(""https://docs.google.com/spreadsheets/d/1IYY_tgx_IHuhSq3AJ5eI5OnqOPBNLWSHKh2a30DoXe8/edit?usp=sharing"",""พังงา!I382"")"),0)</f>
        <v>0</v>
      </c>
      <c r="J487" s="426">
        <f ca="1">IFERROR(__xludf.DUMMYFUNCTION("IMPORTRANGE(""https://docs.google.com/spreadsheets/d/1IYY_tgx_IHuhSq3AJ5eI5OnqOPBNLWSHKh2a30DoXe8/edit?usp=sharing"",""พังงา!J382"")"),355.87)</f>
        <v>355.87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IFERROR(__xludf.DUMMYFUNCTION("IMPORTRANGE(""https://docs.google.com/spreadsheets/d/1IYY_tgx_IHuhSq3AJ5eI5OnqOPBNLWSHKh2a30DoXe8/edit?usp=sharing"",""พังงา!I383"")"),0)</f>
        <v>0</v>
      </c>
      <c r="J488" s="426">
        <f ca="1">IFERROR(__xludf.DUMMYFUNCTION("IMPORTRANGE(""https://docs.google.com/spreadsheets/d/1IYY_tgx_IHuhSq3AJ5eI5OnqOPBNLWSHKh2a30DoXe8/edit?usp=sharing"",""พังงา!J383"")"),53)</f>
        <v>53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IFERROR(__xludf.DUMMYFUNCTION("IMPORTRANGE(""https://docs.google.com/spreadsheets/d/1IYY_tgx_IHuhSq3AJ5eI5OnqOPBNLWSHKh2a30DoXe8/edit?usp=sharing"",""พังงา!I384"")"),0)</f>
        <v>0</v>
      </c>
      <c r="J489" s="195">
        <f ca="1">IFERROR(__xludf.DUMMYFUNCTION("IMPORTRANGE(""https://docs.google.com/spreadsheets/d/1IYY_tgx_IHuhSq3AJ5eI5OnqOPBNLWSHKh2a30DoXe8/edit?usp=sharing"",""พังงา!J384"")"),355.87)</f>
        <v>355.87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IFERROR(__xludf.DUMMYFUNCTION("IMPORTRANGE(""https://docs.google.com/spreadsheets/d/1IYY_tgx_IHuhSq3AJ5eI5OnqOPBNLWSHKh2a30DoXe8/edit?usp=sharing"",""พังงา!I385"")"),0)</f>
        <v>0</v>
      </c>
      <c r="J490" s="195">
        <f ca="1">IFERROR(__xludf.DUMMYFUNCTION("IMPORTRANGE(""https://docs.google.com/spreadsheets/d/1IYY_tgx_IHuhSq3AJ5eI5OnqOPBNLWSHKh2a30DoXe8/edit?usp=sharing"",""พังงา!J385"")"),53)</f>
        <v>53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IFERROR(__xludf.DUMMYFUNCTION("IMPORTRANGE(""https://docs.google.com/spreadsheets/d/1IYY_tgx_IHuhSq3AJ5eI5OnqOPBNLWSHKh2a30DoXe8/edit?usp=sharing"",""พังงา!I386"")"),0)</f>
        <v>0</v>
      </c>
      <c r="J491" s="195">
        <f ca="1">IFERROR(__xludf.DUMMYFUNCTION("IMPORTRANGE(""https://docs.google.com/spreadsheets/d/1IYY_tgx_IHuhSq3AJ5eI5OnqOPBNLWSHKh2a30DoXe8/edit?usp=sharing"",""พังงา!J386"")"),0)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IFERROR(__xludf.DUMMYFUNCTION("IMPORTRANGE(""https://docs.google.com/spreadsheets/d/1IYY_tgx_IHuhSq3AJ5eI5OnqOPBNLWSHKh2a30DoXe8/edit?usp=sharing"",""พังงา!I387"")"),0)</f>
        <v>0</v>
      </c>
      <c r="J492" s="195">
        <f ca="1">IFERROR(__xludf.DUMMYFUNCTION("IMPORTRANGE(""https://docs.google.com/spreadsheets/d/1IYY_tgx_IHuhSq3AJ5eI5OnqOPBNLWSHKh2a30DoXe8/edit?usp=sharing"",""พังงา!J387"")"),0)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IFERROR(__xludf.DUMMYFUNCTION("IMPORTRANGE(""https://docs.google.com/spreadsheets/d/1IYY_tgx_IHuhSq3AJ5eI5OnqOPBNLWSHKh2a30DoXe8/edit?usp=sharing"",""พังงา!I388"")"),0)</f>
        <v>0</v>
      </c>
      <c r="J493" s="195">
        <f ca="1">IFERROR(__xludf.DUMMYFUNCTION("IMPORTRANGE(""https://docs.google.com/spreadsheets/d/1IYY_tgx_IHuhSq3AJ5eI5OnqOPBNLWSHKh2a30DoXe8/edit?usp=sharing"",""พังงา!J388"")"),0)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IFERROR(__xludf.DUMMYFUNCTION("IMPORTRANGE(""https://docs.google.com/spreadsheets/d/1IYY_tgx_IHuhSq3AJ5eI5OnqOPBNLWSHKh2a30DoXe8/edit?usp=sharing"",""พังงา!I389"")"),0)</f>
        <v>0</v>
      </c>
      <c r="J494" s="442">
        <f ca="1">IFERROR(__xludf.DUMMYFUNCTION("IMPORTRANGE(""https://docs.google.com/spreadsheets/d/1IYY_tgx_IHuhSq3AJ5eI5OnqOPBNLWSHKh2a30DoXe8/edit?usp=sharing"",""พังงา!J389"")"),0)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IFERROR(__xludf.DUMMYFUNCTION("IMPORTRANGE(""https://docs.google.com/spreadsheets/d/1IYY_tgx_IHuhSq3AJ5eI5OnqOPBNLWSHKh2a30DoXe8/edit?usp=sharing"",""พังงา!I390"")"),0)</f>
        <v>0</v>
      </c>
      <c r="J495" s="442">
        <f ca="1">IFERROR(__xludf.DUMMYFUNCTION("IMPORTRANGE(""https://docs.google.com/spreadsheets/d/1IYY_tgx_IHuhSq3AJ5eI5OnqOPBNLWSHKh2a30DoXe8/edit?usp=sharing"",""พังงา!J390"")"),2.11)</f>
        <v>2.11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IFERROR(__xludf.DUMMYFUNCTION("IMPORTRANGE(""https://docs.google.com/spreadsheets/d/1IYY_tgx_IHuhSq3AJ5eI5OnqOPBNLWSHKh2a30DoXe8/edit?usp=sharing"",""พังงา!I391"")"),0)</f>
        <v>0</v>
      </c>
      <c r="J496" s="442">
        <f ca="1">IFERROR(__xludf.DUMMYFUNCTION("IMPORTRANGE(""https://docs.google.com/spreadsheets/d/1IYY_tgx_IHuhSq3AJ5eI5OnqOPBNLWSHKh2a30DoXe8/edit?usp=sharing"",""พังงา!J391"")"),1)</f>
        <v>1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IFERROR(__xludf.DUMMYFUNCTION("IMPORTRANGE(""https://docs.google.com/spreadsheets/d/1IYY_tgx_IHuhSq3AJ5eI5OnqOPBNLWSHKh2a30DoXe8/edit?usp=sharing"",""พังงา!I392"")"),80)</f>
        <v>80</v>
      </c>
      <c r="J497" s="449">
        <f ca="1">IFERROR(__xludf.DUMMYFUNCTION("IMPORTRANGE(""https://docs.google.com/spreadsheets/d/1IYY_tgx_IHuhSq3AJ5eI5OnqOPBNLWSHKh2a30DoXe8/edit?usp=sharing"",""พังงา!J392"")"),64)</f>
        <v>64</v>
      </c>
      <c r="K497" s="450">
        <f t="shared" ca="1" si="117"/>
        <v>80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IFERROR(__xludf.DUMMYFUNCTION("IMPORTRANGE(""https://docs.google.com/spreadsheets/d/1IYY_tgx_IHuhSq3AJ5eI5OnqOPBNLWSHKh2a30DoXe8/edit?usp=sharing"",""พังงา!I393"")"),80)</f>
        <v>80</v>
      </c>
      <c r="J498" s="426">
        <f ca="1">IFERROR(__xludf.DUMMYFUNCTION("IMPORTRANGE(""https://docs.google.com/spreadsheets/d/1IYY_tgx_IHuhSq3AJ5eI5OnqOPBNLWSHKh2a30DoXe8/edit?usp=sharing"",""พังงา!J393"")"),64)</f>
        <v>64</v>
      </c>
      <c r="K498" s="167">
        <f t="shared" ca="1" si="117"/>
        <v>80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IFERROR(__xludf.DUMMYFUNCTION("IMPORTRANGE(""https://docs.google.com/spreadsheets/d/1IYY_tgx_IHuhSq3AJ5eI5OnqOPBNLWSHKh2a30DoXe8/edit?usp=sharing"",""พังงา!I394"")"),10)</f>
        <v>10</v>
      </c>
      <c r="J499" s="426">
        <f ca="1">IFERROR(__xludf.DUMMYFUNCTION("IMPORTRANGE(""https://docs.google.com/spreadsheets/d/1IYY_tgx_IHuhSq3AJ5eI5OnqOPBNLWSHKh2a30DoXe8/edit?usp=sharing"",""พังงา!J394"")"),6)</f>
        <v>6</v>
      </c>
      <c r="K499" s="208">
        <f t="shared" ca="1" si="117"/>
        <v>60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IFERROR(__xludf.DUMMYFUNCTION("IMPORTRANGE(""https://docs.google.com/spreadsheets/d/1IYY_tgx_IHuhSq3AJ5eI5OnqOPBNLWSHKh2a30DoXe8/edit?usp=sharing"",""พังงา!I395"")"),0)</f>
        <v>0</v>
      </c>
      <c r="J500" s="166">
        <f ca="1">IFERROR(__xludf.DUMMYFUNCTION("IMPORTRANGE(""https://docs.google.com/spreadsheets/d/1IYY_tgx_IHuhSq3AJ5eI5OnqOPBNLWSHKh2a30DoXe8/edit?usp=sharing"",""พังงา!J395"")"),64)</f>
        <v>64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IFERROR(__xludf.DUMMYFUNCTION("IMPORTRANGE(""https://docs.google.com/spreadsheets/d/1IYY_tgx_IHuhSq3AJ5eI5OnqOPBNLWSHKh2a30DoXe8/edit?usp=sharing"",""พังงา!I396"")"),0)</f>
        <v>0</v>
      </c>
      <c r="J501" s="166">
        <f ca="1">IFERROR(__xludf.DUMMYFUNCTION("IMPORTRANGE(""https://docs.google.com/spreadsheets/d/1IYY_tgx_IHuhSq3AJ5eI5OnqOPBNLWSHKh2a30DoXe8/edit?usp=sharing"",""พังงา!J396"")"),6)</f>
        <v>6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IFERROR(__xludf.DUMMYFUNCTION("IMPORTRANGE(""https://docs.google.com/spreadsheets/d/1IYY_tgx_IHuhSq3AJ5eI5OnqOPBNLWSHKh2a30DoXe8/edit?usp=sharing"",""พังงา!I397"")"),0)</f>
        <v>0</v>
      </c>
      <c r="J502" s="195">
        <f ca="1">IFERROR(__xludf.DUMMYFUNCTION("IMPORTRANGE(""https://docs.google.com/spreadsheets/d/1IYY_tgx_IHuhSq3AJ5eI5OnqOPBNLWSHKh2a30DoXe8/edit?usp=sharing"",""พังงา!J397"")"),64)</f>
        <v>64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IFERROR(__xludf.DUMMYFUNCTION("IMPORTRANGE(""https://docs.google.com/spreadsheets/d/1IYY_tgx_IHuhSq3AJ5eI5OnqOPBNLWSHKh2a30DoXe8/edit?usp=sharing"",""พังงา!I398"")"),0)</f>
        <v>0</v>
      </c>
      <c r="J503" s="204">
        <f ca="1">IFERROR(__xludf.DUMMYFUNCTION("IMPORTRANGE(""https://docs.google.com/spreadsheets/d/1IYY_tgx_IHuhSq3AJ5eI5OnqOPBNLWSHKh2a30DoXe8/edit?usp=sharing"",""พังงา!J398"")"),6)</f>
        <v>6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IFERROR(__xludf.DUMMYFUNCTION("IMPORTRANGE(""https://docs.google.com/spreadsheets/d/1IYY_tgx_IHuhSq3AJ5eI5OnqOPBNLWSHKh2a30DoXe8/edit?usp=sharing"",""พังงา!I399"")"),0)</f>
        <v>0</v>
      </c>
      <c r="J504" s="195">
        <f ca="1">IFERROR(__xludf.DUMMYFUNCTION("IMPORTRANGE(""https://docs.google.com/spreadsheets/d/1IYY_tgx_IHuhSq3AJ5eI5OnqOPBNLWSHKh2a30DoXe8/edit?usp=sharing"",""พังงา!J399"")"),0)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IFERROR(__xludf.DUMMYFUNCTION("IMPORTRANGE(""https://docs.google.com/spreadsheets/d/1IYY_tgx_IHuhSq3AJ5eI5OnqOPBNLWSHKh2a30DoXe8/edit?usp=sharing"",""พังงา!I400"")"),0)</f>
        <v>0</v>
      </c>
      <c r="J505" s="204">
        <f ca="1">IFERROR(__xludf.DUMMYFUNCTION("IMPORTRANGE(""https://docs.google.com/spreadsheets/d/1IYY_tgx_IHuhSq3AJ5eI5OnqOPBNLWSHKh2a30DoXe8/edit?usp=sharing"",""พังงา!J400"")"),0)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IFERROR(__xludf.DUMMYFUNCTION("IMPORTRANGE(""https://docs.google.com/spreadsheets/d/1IYY_tgx_IHuhSq3AJ5eI5OnqOPBNLWSHKh2a30DoXe8/edit?usp=sharing"",""พังงา!I401"")"),0)</f>
        <v>0</v>
      </c>
      <c r="J506" s="195">
        <f ca="1">IFERROR(__xludf.DUMMYFUNCTION("IMPORTRANGE(""https://docs.google.com/spreadsheets/d/1IYY_tgx_IHuhSq3AJ5eI5OnqOPBNLWSHKh2a30DoXe8/edit?usp=sharing"",""พังงา!J401"")"),0)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IFERROR(__xludf.DUMMYFUNCTION("IMPORTRANGE(""https://docs.google.com/spreadsheets/d/1IYY_tgx_IHuhSq3AJ5eI5OnqOPBNLWSHKh2a30DoXe8/edit?usp=sharing"",""พังงา!I402"")"),0)</f>
        <v>0</v>
      </c>
      <c r="J507" s="204">
        <f ca="1">IFERROR(__xludf.DUMMYFUNCTION("IMPORTRANGE(""https://docs.google.com/spreadsheets/d/1IYY_tgx_IHuhSq3AJ5eI5OnqOPBNLWSHKh2a30DoXe8/edit?usp=sharing"",""พังงา!J402"")"),0)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IFERROR(__xludf.DUMMYFUNCTION("IMPORTRANGE(""https://docs.google.com/spreadsheets/d/1IYY_tgx_IHuhSq3AJ5eI5OnqOPBNLWSHKh2a30DoXe8/edit?usp=sharing"",""พังงา!I403"")"),0)</f>
        <v>0</v>
      </c>
      <c r="J508" s="166">
        <f ca="1">IFERROR(__xludf.DUMMYFUNCTION("IMPORTRANGE(""https://docs.google.com/spreadsheets/d/1IYY_tgx_IHuhSq3AJ5eI5OnqOPBNLWSHKh2a30DoXe8/edit?usp=sharing"",""พังงา!J403"")"),0)</f>
        <v>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IFERROR(__xludf.DUMMYFUNCTION("IMPORTRANGE(""https://docs.google.com/spreadsheets/d/1IYY_tgx_IHuhSq3AJ5eI5OnqOPBNLWSHKh2a30DoXe8/edit?usp=sharing"",""พังงา!I404"")"),0)</f>
        <v>0</v>
      </c>
      <c r="J509" s="166">
        <f ca="1">IFERROR(__xludf.DUMMYFUNCTION("IMPORTRANGE(""https://docs.google.com/spreadsheets/d/1IYY_tgx_IHuhSq3AJ5eI5OnqOPBNLWSHKh2a30DoXe8/edit?usp=sharing"",""พังงา!J404"")"),0)</f>
        <v>0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IFERROR(__xludf.DUMMYFUNCTION("IMPORTRANGE(""https://docs.google.com/spreadsheets/d/1IYY_tgx_IHuhSq3AJ5eI5OnqOPBNLWSHKh2a30DoXe8/edit?usp=sharing"",""พังงา!I405"")"),0)</f>
        <v>0</v>
      </c>
      <c r="J510" s="204">
        <f ca="1">IFERROR(__xludf.DUMMYFUNCTION("IMPORTRANGE(""https://docs.google.com/spreadsheets/d/1IYY_tgx_IHuhSq3AJ5eI5OnqOPBNLWSHKh2a30DoXe8/edit?usp=sharing"",""พังงา!J405"")"),0)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IFERROR(__xludf.DUMMYFUNCTION("IMPORTRANGE(""https://docs.google.com/spreadsheets/d/1IYY_tgx_IHuhSq3AJ5eI5OnqOPBNLWSHKh2a30DoXe8/edit?usp=sharing"",""พังงา!I406"")"),0)</f>
        <v>0</v>
      </c>
      <c r="J511" s="204">
        <f ca="1">IFERROR(__xludf.DUMMYFUNCTION("IMPORTRANGE(""https://docs.google.com/spreadsheets/d/1IYY_tgx_IHuhSq3AJ5eI5OnqOPBNLWSHKh2a30DoXe8/edit?usp=sharing"",""พังงา!J406"")"),0)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IFERROR(__xludf.DUMMYFUNCTION("IMPORTRANGE(""https://docs.google.com/spreadsheets/d/1IYY_tgx_IHuhSq3AJ5eI5OnqOPBNLWSHKh2a30DoXe8/edit?usp=sharing"",""พังงา!I407"")"),0)</f>
        <v>0</v>
      </c>
      <c r="J512" s="204">
        <f ca="1">IFERROR(__xludf.DUMMYFUNCTION("IMPORTRANGE(""https://docs.google.com/spreadsheets/d/1IYY_tgx_IHuhSq3AJ5eI5OnqOPBNLWSHKh2a30DoXe8/edit?usp=sharing"",""พังงา!J407"")"),0)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IFERROR(__xludf.DUMMYFUNCTION("IMPORTRANGE(""https://docs.google.com/spreadsheets/d/1IYY_tgx_IHuhSq3AJ5eI5OnqOPBNLWSHKh2a30DoXe8/edit?usp=sharing"",""พังงา!I408"")"),0)</f>
        <v>0</v>
      </c>
      <c r="J513" s="204">
        <f ca="1">IFERROR(__xludf.DUMMYFUNCTION("IMPORTRANGE(""https://docs.google.com/spreadsheets/d/1IYY_tgx_IHuhSq3AJ5eI5OnqOPBNLWSHKh2a30DoXe8/edit?usp=sharing"",""พังงา!J408"")"),0)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IFERROR(__xludf.DUMMYFUNCTION("IMPORTRANGE(""https://docs.google.com/spreadsheets/d/1IYY_tgx_IHuhSq3AJ5eI5OnqOPBNLWSHKh2a30DoXe8/edit?usp=sharing"",""พังงา!I409"")"),0)</f>
        <v>0</v>
      </c>
      <c r="J514" s="204">
        <f ca="1">IFERROR(__xludf.DUMMYFUNCTION("IMPORTRANGE(""https://docs.google.com/spreadsheets/d/1IYY_tgx_IHuhSq3AJ5eI5OnqOPBNLWSHKh2a30DoXe8/edit?usp=sharing"",""พังงา!J409"")"),0)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IFERROR(__xludf.DUMMYFUNCTION("IMPORTRANGE(""https://docs.google.com/spreadsheets/d/1IYY_tgx_IHuhSq3AJ5eI5OnqOPBNLWSHKh2a30DoXe8/edit?usp=sharing"",""พังงา!I410"")"),0)</f>
        <v>0</v>
      </c>
      <c r="J515" s="204">
        <f ca="1">IFERROR(__xludf.DUMMYFUNCTION("IMPORTRANGE(""https://docs.google.com/spreadsheets/d/1IYY_tgx_IHuhSq3AJ5eI5OnqOPBNLWSHKh2a30DoXe8/edit?usp=sharing"",""พังงา!J410"")"),0)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IFERROR(__xludf.DUMMYFUNCTION("IMPORTRANGE(""https://docs.google.com/spreadsheets/d/1IYY_tgx_IHuhSq3AJ5eI5OnqOPBNLWSHKh2a30DoXe8/edit?usp=sharing"",""พังงา!I411"")"),0)</f>
        <v>0</v>
      </c>
      <c r="J516" s="273">
        <f ca="1">IFERROR(__xludf.DUMMYFUNCTION("IMPORTRANGE(""https://docs.google.com/spreadsheets/d/1IYY_tgx_IHuhSq3AJ5eI5OnqOPBNLWSHKh2a30DoXe8/edit?usp=sharing"",""พังงา!J411"")"),0)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IFERROR(__xludf.DUMMYFUNCTION("IMPORTRANGE(""https://docs.google.com/spreadsheets/d/1IYY_tgx_IHuhSq3AJ5eI5OnqOPBNLWSHKh2a30DoXe8/edit?usp=sharing"",""พังงา!I412"")"),0)</f>
        <v>0</v>
      </c>
      <c r="J517" s="290">
        <f ca="1">IFERROR(__xludf.DUMMYFUNCTION("IMPORTRANGE(""https://docs.google.com/spreadsheets/d/1IYY_tgx_IHuhSq3AJ5eI5OnqOPBNLWSHKh2a30DoXe8/edit?usp=sharing"",""พังงา!J412"")"),0)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IFERROR(__xludf.DUMMYFUNCTION("IMPORTRANGE(""https://docs.google.com/spreadsheets/d/1IYY_tgx_IHuhSq3AJ5eI5OnqOPBNLWSHKh2a30DoXe8/edit?usp=sharing"",""พังงา!I413"")"),0)</f>
        <v>0</v>
      </c>
      <c r="J518" s="290">
        <f ca="1">IFERROR(__xludf.DUMMYFUNCTION("IMPORTRANGE(""https://docs.google.com/spreadsheets/d/1IYY_tgx_IHuhSq3AJ5eI5OnqOPBNLWSHKh2a30DoXe8/edit?usp=sharing"",""พังงา!J413"")"),0)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IFERROR(__xludf.DUMMYFUNCTION("IMPORTRANGE(""https://docs.google.com/spreadsheets/d/1IYY_tgx_IHuhSq3AJ5eI5OnqOPBNLWSHKh2a30DoXe8/edit?usp=sharing"",""พังงา!I414"")"),0)</f>
        <v>0</v>
      </c>
      <c r="J519" s="194">
        <f ca="1">IFERROR(__xludf.DUMMYFUNCTION("IMPORTRANGE(""https://docs.google.com/spreadsheets/d/1IYY_tgx_IHuhSq3AJ5eI5OnqOPBNLWSHKh2a30DoXe8/edit?usp=sharing"",""พังงา!J414"")"),0)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IFERROR(__xludf.DUMMYFUNCTION("IMPORTRANGE(""https://docs.google.com/spreadsheets/d/1IYY_tgx_IHuhSq3AJ5eI5OnqOPBNLWSHKh2a30DoXe8/edit?usp=sharing"",""พังงา!I415"")"),0)</f>
        <v>0</v>
      </c>
      <c r="J520" s="194">
        <f ca="1">IFERROR(__xludf.DUMMYFUNCTION("IMPORTRANGE(""https://docs.google.com/spreadsheets/d/1IYY_tgx_IHuhSq3AJ5eI5OnqOPBNLWSHKh2a30DoXe8/edit?usp=sharing"",""พังงา!J415"")"),0)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IFERROR(__xludf.DUMMYFUNCTION("IMPORTRANGE(""https://docs.google.com/spreadsheets/d/1IYY_tgx_IHuhSq3AJ5eI5OnqOPBNLWSHKh2a30DoXe8/edit?usp=sharing"",""พังงา!I416"")"),0)</f>
        <v>0</v>
      </c>
      <c r="J521" s="194">
        <f ca="1">IFERROR(__xludf.DUMMYFUNCTION("IMPORTRANGE(""https://docs.google.com/spreadsheets/d/1IYY_tgx_IHuhSq3AJ5eI5OnqOPBNLWSHKh2a30DoXe8/edit?usp=sharing"",""พังงา!J416"")"),0)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IFERROR(__xludf.DUMMYFUNCTION("IMPORTRANGE(""https://docs.google.com/spreadsheets/d/1IYY_tgx_IHuhSq3AJ5eI5OnqOPBNLWSHKh2a30DoXe8/edit?usp=sharing"",""พังงา!I417"")"),0)</f>
        <v>0</v>
      </c>
      <c r="J522" s="194">
        <f ca="1">IFERROR(__xludf.DUMMYFUNCTION("IMPORTRANGE(""https://docs.google.com/spreadsheets/d/1IYY_tgx_IHuhSq3AJ5eI5OnqOPBNLWSHKh2a30DoXe8/edit?usp=sharing"",""พังงา!J417"")"),0)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IFERROR(__xludf.DUMMYFUNCTION("IMPORTRANGE(""https://docs.google.com/spreadsheets/d/1IYY_tgx_IHuhSq3AJ5eI5OnqOPBNLWSHKh2a30DoXe8/edit?usp=sharing"",""พังงา!I418"")"),0)</f>
        <v>0</v>
      </c>
      <c r="J523" s="194">
        <f ca="1">IFERROR(__xludf.DUMMYFUNCTION("IMPORTRANGE(""https://docs.google.com/spreadsheets/d/1IYY_tgx_IHuhSq3AJ5eI5OnqOPBNLWSHKh2a30DoXe8/edit?usp=sharing"",""พังงา!J418"")"),36)</f>
        <v>36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IFERROR(__xludf.DUMMYFUNCTION("IMPORTRANGE(""https://docs.google.com/spreadsheets/d/1IYY_tgx_IHuhSq3AJ5eI5OnqOPBNLWSHKh2a30DoXe8/edit?usp=sharing"",""พังงา!I419"")"),0)</f>
        <v>0</v>
      </c>
      <c r="J524" s="194">
        <f ca="1">IFERROR(__xludf.DUMMYFUNCTION("IMPORTRANGE(""https://docs.google.com/spreadsheets/d/1IYY_tgx_IHuhSq3AJ5eI5OnqOPBNLWSHKh2a30DoXe8/edit?usp=sharing"",""พังงา!J419"")"),4)</f>
        <v>4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IFERROR(__xludf.DUMMYFUNCTION("IMPORTRANGE(""https://docs.google.com/spreadsheets/d/1IYY_tgx_IHuhSq3AJ5eI5OnqOPBNLWSHKh2a30DoXe8/edit?usp=sharing"",""พังงา!I420"")"),36)</f>
        <v>36</v>
      </c>
      <c r="J525" s="290">
        <f ca="1">IFERROR(__xludf.DUMMYFUNCTION("IMPORTRANGE(""https://docs.google.com/spreadsheets/d/1IYY_tgx_IHuhSq3AJ5eI5OnqOPBNLWSHKh2a30DoXe8/edit?usp=sharing"",""พังงา!J420"")"),36)</f>
        <v>36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IFERROR(__xludf.DUMMYFUNCTION("IMPORTRANGE(""https://docs.google.com/spreadsheets/d/1IYY_tgx_IHuhSq3AJ5eI5OnqOPBNLWSHKh2a30DoXe8/edit?usp=sharing"",""พังงา!I421"")"),4)</f>
        <v>4</v>
      </c>
      <c r="J526" s="290">
        <f ca="1">IFERROR(__xludf.DUMMYFUNCTION("IMPORTRANGE(""https://docs.google.com/spreadsheets/d/1IYY_tgx_IHuhSq3AJ5eI5OnqOPBNLWSHKh2a30DoXe8/edit?usp=sharing"",""พังงา!J421"")"),4)</f>
        <v>4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IFERROR(__xludf.DUMMYFUNCTION("IMPORTRANGE(""https://docs.google.com/spreadsheets/d/1IYY_tgx_IHuhSq3AJ5eI5OnqOPBNLWSHKh2a30DoXe8/edit?usp=sharing"",""พังงา!I422"")"),0)</f>
        <v>0</v>
      </c>
      <c r="J527" s="204">
        <f ca="1">IFERROR(__xludf.DUMMYFUNCTION("IMPORTRANGE(""https://docs.google.com/spreadsheets/d/1IYY_tgx_IHuhSq3AJ5eI5OnqOPBNLWSHKh2a30DoXe8/edit?usp=sharing"",""พังงา!J422"")"),0)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IFERROR(__xludf.DUMMYFUNCTION("IMPORTRANGE(""https://docs.google.com/spreadsheets/d/1IYY_tgx_IHuhSq3AJ5eI5OnqOPBNLWSHKh2a30DoXe8/edit?usp=sharing"",""พังงา!I423"")"),0)</f>
        <v>0</v>
      </c>
      <c r="J528" s="204">
        <f ca="1">IFERROR(__xludf.DUMMYFUNCTION("IMPORTRANGE(""https://docs.google.com/spreadsheets/d/1IYY_tgx_IHuhSq3AJ5eI5OnqOPBNLWSHKh2a30DoXe8/edit?usp=sharing"",""พังงา!J423"")"),0)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IFERROR(__xludf.DUMMYFUNCTION("IMPORTRANGE(""https://docs.google.com/spreadsheets/d/1IYY_tgx_IHuhSq3AJ5eI5OnqOPBNLWSHKh2a30DoXe8/edit?usp=sharing"",""พังงา!I424"")"),0)</f>
        <v>0</v>
      </c>
      <c r="J529" s="204">
        <f ca="1">IFERROR(__xludf.DUMMYFUNCTION("IMPORTRANGE(""https://docs.google.com/spreadsheets/d/1IYY_tgx_IHuhSq3AJ5eI5OnqOPBNLWSHKh2a30DoXe8/edit?usp=sharing"",""พังงา!J424"")"),22)</f>
        <v>22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IFERROR(__xludf.DUMMYFUNCTION("IMPORTRANGE(""https://docs.google.com/spreadsheets/d/1IYY_tgx_IHuhSq3AJ5eI5OnqOPBNLWSHKh2a30DoXe8/edit?usp=sharing"",""พังงา!I425"")"),0)</f>
        <v>0</v>
      </c>
      <c r="J530" s="204">
        <f ca="1">IFERROR(__xludf.DUMMYFUNCTION("IMPORTRANGE(""https://docs.google.com/spreadsheets/d/1IYY_tgx_IHuhSq3AJ5eI5OnqOPBNLWSHKh2a30DoXe8/edit?usp=sharing"",""พังงา!J425"")"),3)</f>
        <v>3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IFERROR(__xludf.DUMMYFUNCTION("IMPORTRANGE(""https://docs.google.com/spreadsheets/d/1IYY_tgx_IHuhSq3AJ5eI5OnqOPBNLWSHKh2a30DoXe8/edit?usp=sharing"",""พังงา!I426"")"),0)</f>
        <v>0</v>
      </c>
      <c r="J531" s="204">
        <f ca="1">IFERROR(__xludf.DUMMYFUNCTION("IMPORTRANGE(""https://docs.google.com/spreadsheets/d/1IYY_tgx_IHuhSq3AJ5eI5OnqOPBNLWSHKh2a30DoXe8/edit?usp=sharing"",""พังงา!J426"")"),14)</f>
        <v>14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IFERROR(__xludf.DUMMYFUNCTION("IMPORTRANGE(""https://docs.google.com/spreadsheets/d/1IYY_tgx_IHuhSq3AJ5eI5OnqOPBNLWSHKh2a30DoXe8/edit?usp=sharing"",""พังงา!I427"")"),0)</f>
        <v>0</v>
      </c>
      <c r="J532" s="472">
        <f ca="1">IFERROR(__xludf.DUMMYFUNCTION("IMPORTRANGE(""https://docs.google.com/spreadsheets/d/1IYY_tgx_IHuhSq3AJ5eI5OnqOPBNLWSHKh2a30DoXe8/edit?usp=sharing"",""พังงา!J427"")"),1)</f>
        <v>1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IFERROR(__xludf.DUMMYFUNCTION("IMPORTRANGE(""https://docs.google.com/spreadsheets/d/1IYY_tgx_IHuhSq3AJ5eI5OnqOPBNLWSHKh2a30DoXe8/edit?usp=sharing"",""พังงา!I428"")"),24)</f>
        <v>24</v>
      </c>
      <c r="J533" s="416">
        <f ca="1">IFERROR(__xludf.DUMMYFUNCTION("IMPORTRANGE(""https://docs.google.com/spreadsheets/d/1IYY_tgx_IHuhSq3AJ5eI5OnqOPBNLWSHKh2a30DoXe8/edit?usp=sharing"",""พังงา!J428"")"),24)</f>
        <v>24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IFERROR(__xludf.DUMMYFUNCTION("IMPORTRANGE(""https://docs.google.com/spreadsheets/d/1IYY_tgx_IHuhSq3AJ5eI5OnqOPBNLWSHKh2a30DoXe8/edit?usp=sharing"",""พังงา!L428"")"),36040)</f>
        <v>36040</v>
      </c>
      <c r="M533" s="418"/>
      <c r="N533" s="418">
        <f ca="1">IFERROR(__xludf.DUMMYFUNCTION("IMPORTRANGE(""https://docs.google.com/spreadsheets/d/1IYY_tgx_IHuhSq3AJ5eI5OnqOPBNLWSHKh2a30DoXe8/edit?usp=sharing"",""พังงา!M428"")"),29500)</f>
        <v>29500</v>
      </c>
      <c r="O533" s="418">
        <f t="shared" ref="O533:O537" ca="1" si="118">+IF(L533&gt;0,N533*100/L533,0)</f>
        <v>81.853496115427305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IFERROR(__xludf.DUMMYFUNCTION("IMPORTRANGE(""https://docs.google.com/spreadsheets/d/1IYY_tgx_IHuhSq3AJ5eI5OnqOPBNLWSHKh2a30DoXe8/edit?usp=sharing"",""พังงา!L429"")"),0)</f>
        <v>0</v>
      </c>
      <c r="M534" s="168"/>
      <c r="N534" s="175">
        <f ca="1">IFERROR(__xludf.DUMMYFUNCTION("IMPORTRANGE(""https://docs.google.com/spreadsheets/d/1IYY_tgx_IHuhSq3AJ5eI5OnqOPBNLWSHKh2a30DoXe8/edit?usp=sharing"",""พังงา!M429"")"),0)</f>
        <v>0</v>
      </c>
      <c r="O534" s="175">
        <f t="shared" ca="1" si="118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IFERROR(__xludf.DUMMYFUNCTION("IMPORTRANGE(""https://docs.google.com/spreadsheets/d/1IYY_tgx_IHuhSq3AJ5eI5OnqOPBNLWSHKh2a30DoXe8/edit?usp=sharing"",""พังงา!L430"")"),36040)</f>
        <v>36040</v>
      </c>
      <c r="M535" s="169"/>
      <c r="N535" s="175">
        <f ca="1">IFERROR(__xludf.DUMMYFUNCTION("IMPORTRANGE(""https://docs.google.com/spreadsheets/d/1IYY_tgx_IHuhSq3AJ5eI5OnqOPBNLWSHKh2a30DoXe8/edit?usp=sharing"",""พังงา!M430"")"),29500)</f>
        <v>29500</v>
      </c>
      <c r="O535" s="175">
        <f t="shared" ca="1" si="118"/>
        <v>81.853496115427305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IFERROR(__xludf.DUMMYFUNCTION("IMPORTRANGE(""https://docs.google.com/spreadsheets/d/1IYY_tgx_IHuhSq3AJ5eI5OnqOPBNLWSHKh2a30DoXe8/edit?usp=sharing"",""พังงา!L431"")"),0)</f>
        <v>0</v>
      </c>
      <c r="M536" s="175"/>
      <c r="N536" s="175">
        <f ca="1">IFERROR(__xludf.DUMMYFUNCTION("IMPORTRANGE(""https://docs.google.com/spreadsheets/d/1IYY_tgx_IHuhSq3AJ5eI5OnqOPBNLWSHKh2a30DoXe8/edit?usp=sharing"",""พังงา!M431"")"),0)</f>
        <v>0</v>
      </c>
      <c r="O536" s="175">
        <f t="shared" ca="1" si="118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IFERROR(__xludf.DUMMYFUNCTION("IMPORTRANGE(""https://docs.google.com/spreadsheets/d/1IYY_tgx_IHuhSq3AJ5eI5OnqOPBNLWSHKh2a30DoXe8/edit?usp=sharing"",""พังงา!L432"")"),36040)</f>
        <v>36040</v>
      </c>
      <c r="M537" s="175"/>
      <c r="N537" s="175">
        <f ca="1">IFERROR(__xludf.DUMMYFUNCTION("IMPORTRANGE(""https://docs.google.com/spreadsheets/d/1IYY_tgx_IHuhSq3AJ5eI5OnqOPBNLWSHKh2a30DoXe8/edit?usp=sharing"",""พังงา!M432"")"),29500)</f>
        <v>29500</v>
      </c>
      <c r="O537" s="175">
        <f t="shared" ca="1" si="118"/>
        <v>81.853496115427305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IFERROR(__xludf.DUMMYFUNCTION("IMPORTRANGE(""https://docs.google.com/spreadsheets/d/1IYY_tgx_IHuhSq3AJ5eI5OnqOPBNLWSHKh2a30DoXe8/edit?usp=sharing"",""พังงา!M433"")"),19640)</f>
        <v>19640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IFERROR(__xludf.DUMMYFUNCTION("IMPORTRANGE(""https://docs.google.com/spreadsheets/d/1IYY_tgx_IHuhSq3AJ5eI5OnqOPBNLWSHKh2a30DoXe8/edit?usp=sharing"",""พังงา!M434"")"),0)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IFERROR(__xludf.DUMMYFUNCTION("IMPORTRANGE(""https://docs.google.com/spreadsheets/d/1IYY_tgx_IHuhSq3AJ5eI5OnqOPBNLWSHKh2a30DoXe8/edit?usp=sharing"",""พังงา!M435"")"),0)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IFERROR(__xludf.DUMMYFUNCTION("IMPORTRANGE(""https://docs.google.com/spreadsheets/d/1IYY_tgx_IHuhSq3AJ5eI5OnqOPBNLWSHKh2a30DoXe8/edit?usp=sharing"",""พังงา!M436"")"),9860)</f>
        <v>9860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IFERROR(__xludf.DUMMYFUNCTION("IMPORTRANGE(""https://docs.google.com/spreadsheets/d/1IYY_tgx_IHuhSq3AJ5eI5OnqOPBNLWSHKh2a30DoXe8/edit?usp=sharing"",""พังงา!J438"")"),0)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IFERROR(__xludf.DUMMYFUNCTION("IMPORTRANGE(""https://docs.google.com/spreadsheets/d/1IYY_tgx_IHuhSq3AJ5eI5OnqOPBNLWSHKh2a30DoXe8/edit?usp=sharing"",""พังงา!J439"")"),1)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IFERROR(__xludf.DUMMYFUNCTION("IMPORTRANGE(""https://docs.google.com/spreadsheets/d/1IYY_tgx_IHuhSq3AJ5eI5OnqOPBNLWSHKh2a30DoXe8/edit?usp=sharing"",""พังงา!J440"")"),1)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IFERROR(__xludf.DUMMYFUNCTION("IMPORTRANGE(""https://docs.google.com/spreadsheets/d/1IYY_tgx_IHuhSq3AJ5eI5OnqOPBNLWSHKh2a30DoXe8/edit?usp=sharing"",""พังงา!J441"")"),1)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IFERROR(__xludf.DUMMYFUNCTION("IMPORTRANGE(""https://docs.google.com/spreadsheets/d/1IYY_tgx_IHuhSq3AJ5eI5OnqOPBNLWSHKh2a30DoXe8/edit?usp=sharing"",""พังงา!I442"")"),24)</f>
        <v>24</v>
      </c>
      <c r="J547" s="195">
        <f ca="1">IFERROR(__xludf.DUMMYFUNCTION("IMPORTRANGE(""https://docs.google.com/spreadsheets/d/1IYY_tgx_IHuhSq3AJ5eI5OnqOPBNLWSHKh2a30DoXe8/edit?usp=sharing"",""พังงา!J442"")"),24)</f>
        <v>24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IFERROR(__xludf.DUMMYFUNCTION("IMPORTRANGE(""https://docs.google.com/spreadsheets/d/1IYY_tgx_IHuhSq3AJ5eI5OnqOPBNLWSHKh2a30DoXe8/edit?usp=sharing"",""พังงา!J166"")"),0)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IFERROR(__xludf.DUMMYFUNCTION("IMPORTRANGE(""https://docs.google.com/spreadsheets/d/1IYY_tgx_IHuhSq3AJ5eI5OnqOPBNLWSHKh2a30DoXe8/edit?usp=sharing"",""พังงา!J444"")"),0)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IFERROR(__xludf.DUMMYFUNCTION("IMPORTRANGE(""https://docs.google.com/spreadsheets/d/1IYY_tgx_IHuhSq3AJ5eI5OnqOPBNLWSHKh2a30DoXe8/edit?usp=sharing"",""พังงา!J445"")"),0)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IFERROR(__xludf.DUMMYFUNCTION("IMPORTRANGE(""https://docs.google.com/spreadsheets/d/1IYY_tgx_IHuhSq3AJ5eI5OnqOPBNLWSHKh2a30DoXe8/edit?usp=sharing"",""พังงา!I446"")"),0)</f>
        <v>0</v>
      </c>
      <c r="J551" s="416">
        <f ca="1">IFERROR(__xludf.DUMMYFUNCTION("IMPORTRANGE(""https://docs.google.com/spreadsheets/d/1IYY_tgx_IHuhSq3AJ5eI5OnqOPBNLWSHKh2a30DoXe8/edit?usp=sharing"",""พังงา!J446"")"),0)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IFERROR(__xludf.DUMMYFUNCTION("IMPORTRANGE(""https://docs.google.com/spreadsheets/d/1IYY_tgx_IHuhSq3AJ5eI5OnqOPBNLWSHKh2a30DoXe8/edit?usp=sharing"",""พังงา!L446"")"),0)</f>
        <v>0</v>
      </c>
      <c r="M551" s="418"/>
      <c r="N551" s="418">
        <f ca="1">IFERROR(__xludf.DUMMYFUNCTION("IMPORTRANGE(""https://docs.google.com/spreadsheets/d/1IYY_tgx_IHuhSq3AJ5eI5OnqOPBNLWSHKh2a30DoXe8/edit?usp=sharing"",""พังงา!M446"")"),0)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IFERROR(__xludf.DUMMYFUNCTION("IMPORTRANGE(""https://docs.google.com/spreadsheets/d/1IYY_tgx_IHuhSq3AJ5eI5OnqOPBNLWSHKh2a30DoXe8/edit?usp=sharing"",""พังงา!L447"")"),0)</f>
        <v>0</v>
      </c>
      <c r="M552" s="168"/>
      <c r="N552" s="175">
        <f ca="1">IFERROR(__xludf.DUMMYFUNCTION("IMPORTRANGE(""https://docs.google.com/spreadsheets/d/1IYY_tgx_IHuhSq3AJ5eI5OnqOPBNLWSHKh2a30DoXe8/edit?usp=sharing"",""พังงา!M447"")"),0)</f>
        <v>0</v>
      </c>
      <c r="O552" s="175">
        <f t="shared" ca="1" si="120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IFERROR(__xludf.DUMMYFUNCTION("IMPORTRANGE(""https://docs.google.com/spreadsheets/d/1IYY_tgx_IHuhSq3AJ5eI5OnqOPBNLWSHKh2a30DoXe8/edit?usp=sharing"",""พังงา!L448"")"),0)</f>
        <v>0</v>
      </c>
      <c r="M553" s="169"/>
      <c r="N553" s="175">
        <f ca="1">IFERROR(__xludf.DUMMYFUNCTION("IMPORTRANGE(""https://docs.google.com/spreadsheets/d/1IYY_tgx_IHuhSq3AJ5eI5OnqOPBNLWSHKh2a30DoXe8/edit?usp=sharing"",""พังงา!M448"")"),0)</f>
        <v>0</v>
      </c>
      <c r="O553" s="175">
        <f t="shared" ca="1" si="120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IFERROR(__xludf.DUMMYFUNCTION("IMPORTRANGE(""https://docs.google.com/spreadsheets/d/1IYY_tgx_IHuhSq3AJ5eI5OnqOPBNLWSHKh2a30DoXe8/edit?usp=sharing"",""พังงา!L449"")"),0)</f>
        <v>0</v>
      </c>
      <c r="M554" s="175"/>
      <c r="N554" s="175">
        <f ca="1">IFERROR(__xludf.DUMMYFUNCTION("IMPORTRANGE(""https://docs.google.com/spreadsheets/d/1IYY_tgx_IHuhSq3AJ5eI5OnqOPBNLWSHKh2a30DoXe8/edit?usp=sharing"",""พังงา!M449"")"),0)</f>
        <v>0</v>
      </c>
      <c r="O554" s="175">
        <f t="shared" ca="1" si="120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IFERROR(__xludf.DUMMYFUNCTION("IMPORTRANGE(""https://docs.google.com/spreadsheets/d/1IYY_tgx_IHuhSq3AJ5eI5OnqOPBNLWSHKh2a30DoXe8/edit?usp=sharing"",""พังงา!L450"")"),0)</f>
        <v>0</v>
      </c>
      <c r="M555" s="175"/>
      <c r="N555" s="175">
        <f ca="1">IFERROR(__xludf.DUMMYFUNCTION("IMPORTRANGE(""https://docs.google.com/spreadsheets/d/1IYY_tgx_IHuhSq3AJ5eI5OnqOPBNLWSHKh2a30DoXe8/edit?usp=sharing"",""พังงา!M450"")"),0)</f>
        <v>0</v>
      </c>
      <c r="O555" s="175">
        <f t="shared" ca="1" si="120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IFERROR(__xludf.DUMMYFUNCTION("IMPORTRANGE(""https://docs.google.com/spreadsheets/d/1IYY_tgx_IHuhSq3AJ5eI5OnqOPBNLWSHKh2a30DoXe8/edit?usp=sharing"",""พังงา!M451"")"),0)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IFERROR(__xludf.DUMMYFUNCTION("IMPORTRANGE(""https://docs.google.com/spreadsheets/d/1IYY_tgx_IHuhSq3AJ5eI5OnqOPBNLWSHKh2a30DoXe8/edit?usp=sharing"",""พังงา!M452"")"),0)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IFERROR(__xludf.DUMMYFUNCTION("IMPORTRANGE(""https://docs.google.com/spreadsheets/d/1IYY_tgx_IHuhSq3AJ5eI5OnqOPBNLWSHKh2a30DoXe8/edit?usp=sharing"",""พังงา!M453"")"),0)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IFERROR(__xludf.DUMMYFUNCTION("IMPORTRANGE(""https://docs.google.com/spreadsheets/d/1IYY_tgx_IHuhSq3AJ5eI5OnqOPBNLWSHKh2a30DoXe8/edit?usp=sharing"",""พังงา!M454"")"),0)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IFERROR(__xludf.DUMMYFUNCTION("IMPORTRANGE(""https://docs.google.com/spreadsheets/d/1IYY_tgx_IHuhSq3AJ5eI5OnqOPBNLWSHKh2a30DoXe8/edit?usp=sharing"",""พังงา!I455"")"),0)</f>
        <v>0</v>
      </c>
      <c r="J560" s="166">
        <f ca="1">IFERROR(__xludf.DUMMYFUNCTION("IMPORTRANGE(""https://docs.google.com/spreadsheets/d/1IYY_tgx_IHuhSq3AJ5eI5OnqOPBNLWSHKh2a30DoXe8/edit?usp=sharing"",""พังงา!J455"")"),0)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IFERROR(__xludf.DUMMYFUNCTION("IMPORTRANGE(""https://docs.google.com/spreadsheets/d/1IYY_tgx_IHuhSq3AJ5eI5OnqOPBNLWSHKh2a30DoXe8/edit?usp=sharing"",""พังงา!I456"")"),0)</f>
        <v>0</v>
      </c>
      <c r="J561" s="210">
        <f ca="1">IFERROR(__xludf.DUMMYFUNCTION("IMPORTRANGE(""https://docs.google.com/spreadsheets/d/1IYY_tgx_IHuhSq3AJ5eI5OnqOPBNLWSHKh2a30DoXe8/edit?usp=sharing"",""พังงา!J456"")"),0)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IFERROR(__xludf.DUMMYFUNCTION("IMPORTRANGE(""https://docs.google.com/spreadsheets/d/1IYY_tgx_IHuhSq3AJ5eI5OnqOPBNLWSHKh2a30DoXe8/edit?usp=sharing"",""พังงา!I459"")"),400)</f>
        <v>400</v>
      </c>
      <c r="J564" s="377">
        <f ca="1">IFERROR(__xludf.DUMMYFUNCTION("IMPORTRANGE(""https://docs.google.com/spreadsheets/d/1IYY_tgx_IHuhSq3AJ5eI5OnqOPBNLWSHKh2a30DoXe8/edit?usp=sharing"",""พังงา!J459"")"),1032)</f>
        <v>1032</v>
      </c>
      <c r="K564" s="378">
        <f ca="1">IF(I564&gt;0,J564*100/I564,0)</f>
        <v>258</v>
      </c>
      <c r="L564" s="379">
        <f ca="1">IFERROR(__xludf.DUMMYFUNCTION("IMPORTRANGE(""https://docs.google.com/spreadsheets/d/1IYY_tgx_IHuhSq3AJ5eI5OnqOPBNLWSHKh2a30DoXe8/edit?usp=sharing"",""พังงา!L459"")"),126880)</f>
        <v>126880</v>
      </c>
      <c r="M564" s="379"/>
      <c r="N564" s="379">
        <f ca="1">IFERROR(__xludf.DUMMYFUNCTION("IMPORTRANGE(""https://docs.google.com/spreadsheets/d/1IYY_tgx_IHuhSq3AJ5eI5OnqOPBNLWSHKh2a30DoXe8/edit?usp=sharing"",""พังงา!M459"")"),101302)</f>
        <v>101302</v>
      </c>
      <c r="O564" s="379">
        <f t="shared" ref="O564:O568" ca="1" si="122">+IF(L564&gt;0,N564*100/L564,0)</f>
        <v>79.840794451450193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IFERROR(__xludf.DUMMYFUNCTION("IMPORTRANGE(""https://docs.google.com/spreadsheets/d/1IYY_tgx_IHuhSq3AJ5eI5OnqOPBNLWSHKh2a30DoXe8/edit?usp=sharing"",""พังงา!L460"")"),0)</f>
        <v>0</v>
      </c>
      <c r="M565" s="168"/>
      <c r="N565" s="175">
        <f ca="1">IFERROR(__xludf.DUMMYFUNCTION("IMPORTRANGE(""https://docs.google.com/spreadsheets/d/1IYY_tgx_IHuhSq3AJ5eI5OnqOPBNLWSHKh2a30DoXe8/edit?usp=sharing"",""พังงา!M460"")"),0)</f>
        <v>0</v>
      </c>
      <c r="O565" s="175">
        <f t="shared" ca="1" si="122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IFERROR(__xludf.DUMMYFUNCTION("IMPORTRANGE(""https://docs.google.com/spreadsheets/d/1IYY_tgx_IHuhSq3AJ5eI5OnqOPBNLWSHKh2a30DoXe8/edit?usp=sharing"",""พังงา!L461"")"),126880)</f>
        <v>126880</v>
      </c>
      <c r="M566" s="169"/>
      <c r="N566" s="175">
        <f ca="1">IFERROR(__xludf.DUMMYFUNCTION("IMPORTRANGE(""https://docs.google.com/spreadsheets/d/1IYY_tgx_IHuhSq3AJ5eI5OnqOPBNLWSHKh2a30DoXe8/edit?usp=sharing"",""พังงา!M461"")"),101302)</f>
        <v>101302</v>
      </c>
      <c r="O566" s="175">
        <f t="shared" ca="1" si="122"/>
        <v>79.840794451450193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IFERROR(__xludf.DUMMYFUNCTION("IMPORTRANGE(""https://docs.google.com/spreadsheets/d/1IYY_tgx_IHuhSq3AJ5eI5OnqOPBNLWSHKh2a30DoXe8/edit?usp=sharing"",""พังงา!L462"")"),0)</f>
        <v>0</v>
      </c>
      <c r="M567" s="175"/>
      <c r="N567" s="175">
        <f ca="1">IFERROR(__xludf.DUMMYFUNCTION("IMPORTRANGE(""https://docs.google.com/spreadsheets/d/1IYY_tgx_IHuhSq3AJ5eI5OnqOPBNLWSHKh2a30DoXe8/edit?usp=sharing"",""พังงา!M462"")"),0)</f>
        <v>0</v>
      </c>
      <c r="O567" s="175">
        <f t="shared" ca="1" si="122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IFERROR(__xludf.DUMMYFUNCTION("IMPORTRANGE(""https://docs.google.com/spreadsheets/d/1IYY_tgx_IHuhSq3AJ5eI5OnqOPBNLWSHKh2a30DoXe8/edit?usp=sharing"",""พังงา!L463"")"),126880)</f>
        <v>126880</v>
      </c>
      <c r="M568" s="175"/>
      <c r="N568" s="175">
        <f ca="1">IFERROR(__xludf.DUMMYFUNCTION("IMPORTRANGE(""https://docs.google.com/spreadsheets/d/1IYY_tgx_IHuhSq3AJ5eI5OnqOPBNLWSHKh2a30DoXe8/edit?usp=sharing"",""พังงา!M463"")"),101302)</f>
        <v>101302</v>
      </c>
      <c r="O568" s="175">
        <f t="shared" ca="1" si="122"/>
        <v>79.840794451450193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IFERROR(__xludf.DUMMYFUNCTION("IMPORTRANGE(""https://docs.google.com/spreadsheets/d/1IYY_tgx_IHuhSq3AJ5eI5OnqOPBNLWSHKh2a30DoXe8/edit?usp=sharing"",""พังงา!M464"")"),0)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IFERROR(__xludf.DUMMYFUNCTION("IMPORTRANGE(""https://docs.google.com/spreadsheets/d/1IYY_tgx_IHuhSq3AJ5eI5OnqOPBNLWSHKh2a30DoXe8/edit?usp=sharing"",""พังงา!M465"")"),0)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IFERROR(__xludf.DUMMYFUNCTION("IMPORTRANGE(""https://docs.google.com/spreadsheets/d/1IYY_tgx_IHuhSq3AJ5eI5OnqOPBNLWSHKh2a30DoXe8/edit?usp=sharing"",""พังงา!M466"")"),97902)</f>
        <v>97902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IFERROR(__xludf.DUMMYFUNCTION("IMPORTRANGE(""https://docs.google.com/spreadsheets/d/1IYY_tgx_IHuhSq3AJ5eI5OnqOPBNLWSHKh2a30DoXe8/edit?usp=sharing"",""พังงา!M467"")"),3400)</f>
        <v>3400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IFERROR(__xludf.DUMMYFUNCTION("IMPORTRANGE(""https://docs.google.com/spreadsheets/d/1IYY_tgx_IHuhSq3AJ5eI5OnqOPBNLWSHKh2a30DoXe8/edit?usp=sharing"",""พังงา!I468"")"),400)</f>
        <v>400</v>
      </c>
      <c r="J573" s="426">
        <f ca="1">IFERROR(__xludf.DUMMYFUNCTION("IMPORTRANGE(""https://docs.google.com/spreadsheets/d/1IYY_tgx_IHuhSq3AJ5eI5OnqOPBNLWSHKh2a30DoXe8/edit?usp=sharing"",""พังงา!J468"")"),1032)</f>
        <v>1032</v>
      </c>
      <c r="K573" s="208">
        <f ca="1">IF(I573&gt;0,J573*100/I573,0)</f>
        <v>258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IFERROR(__xludf.DUMMYFUNCTION("IMPORTRANGE(""https://docs.google.com/spreadsheets/d/1IYY_tgx_IHuhSq3AJ5eI5OnqOPBNLWSHKh2a30DoXe8/edit?usp=sharing"",""พังงา!I470"")"),0)</f>
        <v>0</v>
      </c>
      <c r="J575" s="204">
        <f ca="1">IFERROR(__xludf.DUMMYFUNCTION("IMPORTRANGE(""https://docs.google.com/spreadsheets/d/1IYY_tgx_IHuhSq3AJ5eI5OnqOPBNLWSHKh2a30DoXe8/edit?usp=sharing"",""พังงา!J470"")"),5)</f>
        <v>5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IFERROR(__xludf.DUMMYFUNCTION("IMPORTRANGE(""https://docs.google.com/spreadsheets/d/1IYY_tgx_IHuhSq3AJ5eI5OnqOPBNLWSHKh2a30DoXe8/edit?usp=sharing"",""พังงา!I471"")"),0)</f>
        <v>0</v>
      </c>
      <c r="J576" s="204">
        <f ca="1">IFERROR(__xludf.DUMMYFUNCTION("IMPORTRANGE(""https://docs.google.com/spreadsheets/d/1IYY_tgx_IHuhSq3AJ5eI5OnqOPBNLWSHKh2a30DoXe8/edit?usp=sharing"",""พังงา!J471"")"),166)</f>
        <v>166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IFERROR(__xludf.DUMMYFUNCTION("IMPORTRANGE(""https://docs.google.com/spreadsheets/d/1IYY_tgx_IHuhSq3AJ5eI5OnqOPBNLWSHKh2a30DoXe8/edit?usp=sharing"",""พังงา!I472"")"),0)</f>
        <v>0</v>
      </c>
      <c r="J577" s="195">
        <f ca="1">IFERROR(__xludf.DUMMYFUNCTION("IMPORTRANGE(""https://docs.google.com/spreadsheets/d/1IYY_tgx_IHuhSq3AJ5eI5OnqOPBNLWSHKh2a30DoXe8/edit?usp=sharing"",""พังงา!J472"")"),866)</f>
        <v>866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IFERROR(__xludf.DUMMYFUNCTION("IMPORTRANGE(""https://docs.google.com/spreadsheets/d/1IYY_tgx_IHuhSq3AJ5eI5OnqOPBNLWSHKh2a30DoXe8/edit?usp=sharing"",""พังงา!I473"")"),0)</f>
        <v>0</v>
      </c>
      <c r="J578" s="204">
        <f ca="1">IFERROR(__xludf.DUMMYFUNCTION("IMPORTRANGE(""https://docs.google.com/spreadsheets/d/1IYY_tgx_IHuhSq3AJ5eI5OnqOPBNLWSHKh2a30DoXe8/edit?usp=sharing"",""พังงา!J473"")"),0)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IFERROR(__xludf.DUMMYFUNCTION("IMPORTRANGE(""https://docs.google.com/spreadsheets/d/1IYY_tgx_IHuhSq3AJ5eI5OnqOPBNLWSHKh2a30DoXe8/edit?usp=sharing"",""พังงา!I474"")"),0)</f>
        <v>0</v>
      </c>
      <c r="J579" s="204">
        <f ca="1">IFERROR(__xludf.DUMMYFUNCTION("IMPORTRANGE(""https://docs.google.com/spreadsheets/d/1IYY_tgx_IHuhSq3AJ5eI5OnqOPBNLWSHKh2a30DoXe8/edit?usp=sharing"",""พังงา!J474"")"),0)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IFERROR(__xludf.DUMMYFUNCTION("IMPORTRANGE(""https://docs.google.com/spreadsheets/d/1IYY_tgx_IHuhSq3AJ5eI5OnqOPBNLWSHKh2a30DoXe8/edit?usp=sharing"",""พังงา!I475"")"),0)</f>
        <v>0</v>
      </c>
      <c r="J580" s="377">
        <f ca="1">IFERROR(__xludf.DUMMYFUNCTION("IMPORTRANGE(""https://docs.google.com/spreadsheets/d/1IYY_tgx_IHuhSq3AJ5eI5OnqOPBNLWSHKh2a30DoXe8/edit?usp=sharing"",""พังงา!J475"")"),0)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IFERROR(__xludf.DUMMYFUNCTION("IMPORTRANGE(""https://docs.google.com/spreadsheets/d/1IYY_tgx_IHuhSq3AJ5eI5OnqOPBNLWSHKh2a30DoXe8/edit?usp=sharing"",""พังงา!L475"")"),0)</f>
        <v>0</v>
      </c>
      <c r="M580" s="379"/>
      <c r="N580" s="379">
        <f ca="1">IFERROR(__xludf.DUMMYFUNCTION("IMPORTRANGE(""https://docs.google.com/spreadsheets/d/1IYY_tgx_IHuhSq3AJ5eI5OnqOPBNLWSHKh2a30DoXe8/edit?usp=sharing"",""พังงา!M475"")"),0)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IFERROR(__xludf.DUMMYFUNCTION("IMPORTRANGE(""https://docs.google.com/spreadsheets/d/1IYY_tgx_IHuhSq3AJ5eI5OnqOPBNLWSHKh2a30DoXe8/edit?usp=sharing"",""พังงา!L476"")"),0)</f>
        <v>0</v>
      </c>
      <c r="M581" s="168"/>
      <c r="N581" s="175">
        <f ca="1">IFERROR(__xludf.DUMMYFUNCTION("IMPORTRANGE(""https://docs.google.com/spreadsheets/d/1IYY_tgx_IHuhSq3AJ5eI5OnqOPBNLWSHKh2a30DoXe8/edit?usp=sharing"",""พังงา!M476"")"),0)</f>
        <v>0</v>
      </c>
      <c r="O581" s="175">
        <f t="shared" ca="1" si="124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IFERROR(__xludf.DUMMYFUNCTION("IMPORTRANGE(""https://docs.google.com/spreadsheets/d/1IYY_tgx_IHuhSq3AJ5eI5OnqOPBNLWSHKh2a30DoXe8/edit?usp=sharing"",""พังงา!L477"")"),0)</f>
        <v>0</v>
      </c>
      <c r="M582" s="169"/>
      <c r="N582" s="175">
        <f ca="1">IFERROR(__xludf.DUMMYFUNCTION("IMPORTRANGE(""https://docs.google.com/spreadsheets/d/1IYY_tgx_IHuhSq3AJ5eI5OnqOPBNLWSHKh2a30DoXe8/edit?usp=sharing"",""พังงา!M477"")"),0)</f>
        <v>0</v>
      </c>
      <c r="O582" s="175">
        <f t="shared" ca="1" si="124"/>
        <v>0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IFERROR(__xludf.DUMMYFUNCTION("IMPORTRANGE(""https://docs.google.com/spreadsheets/d/1IYY_tgx_IHuhSq3AJ5eI5OnqOPBNLWSHKh2a30DoXe8/edit?usp=sharing"",""พังงา!L478"")"),0)</f>
        <v>0</v>
      </c>
      <c r="M583" s="175"/>
      <c r="N583" s="175">
        <f ca="1">IFERROR(__xludf.DUMMYFUNCTION("IMPORTRANGE(""https://docs.google.com/spreadsheets/d/1IYY_tgx_IHuhSq3AJ5eI5OnqOPBNLWSHKh2a30DoXe8/edit?usp=sharing"",""พังงา!M478"")"),0)</f>
        <v>0</v>
      </c>
      <c r="O583" s="175">
        <f t="shared" ca="1" si="124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IFERROR(__xludf.DUMMYFUNCTION("IMPORTRANGE(""https://docs.google.com/spreadsheets/d/1IYY_tgx_IHuhSq3AJ5eI5OnqOPBNLWSHKh2a30DoXe8/edit?usp=sharing"",""พังงา!L479"")"),0)</f>
        <v>0</v>
      </c>
      <c r="M584" s="175"/>
      <c r="N584" s="175">
        <f ca="1">IFERROR(__xludf.DUMMYFUNCTION("IMPORTRANGE(""https://docs.google.com/spreadsheets/d/1IYY_tgx_IHuhSq3AJ5eI5OnqOPBNLWSHKh2a30DoXe8/edit?usp=sharing"",""พังงา!M479"")"),0)</f>
        <v>0</v>
      </c>
      <c r="O584" s="175">
        <f t="shared" ca="1" si="124"/>
        <v>0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IFERROR(__xludf.DUMMYFUNCTION("IMPORTRANGE(""https://docs.google.com/spreadsheets/d/1IYY_tgx_IHuhSq3AJ5eI5OnqOPBNLWSHKh2a30DoXe8/edit?usp=sharing"",""พังงา!M480"")"),0)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IFERROR(__xludf.DUMMYFUNCTION("IMPORTRANGE(""https://docs.google.com/spreadsheets/d/1IYY_tgx_IHuhSq3AJ5eI5OnqOPBNLWSHKh2a30DoXe8/edit?usp=sharing"",""พังงา!M481"")"),0)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IFERROR(__xludf.DUMMYFUNCTION("IMPORTRANGE(""https://docs.google.com/spreadsheets/d/1IYY_tgx_IHuhSq3AJ5eI5OnqOPBNLWSHKh2a30DoXe8/edit?usp=sharing"",""พังงา!M482"")"),0)</f>
        <v>0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IFERROR(__xludf.DUMMYFUNCTION("IMPORTRANGE(""https://docs.google.com/spreadsheets/d/1IYY_tgx_IHuhSq3AJ5eI5OnqOPBNLWSHKh2a30DoXe8/edit?usp=sharing"",""พังงา!M483"")"),0)</f>
        <v>0</v>
      </c>
      <c r="O588" s="175"/>
      <c r="P588" s="175"/>
    </row>
    <row r="589" spans="1:16" ht="21.75" customHeight="1" x14ac:dyDescent="0.2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IFERROR(__xludf.DUMMYFUNCTION("IMPORTRANGE(""https://docs.google.com/spreadsheets/d/1IYY_tgx_IHuhSq3AJ5eI5OnqOPBNLWSHKh2a30DoXe8/edit?usp=sharing"",""พังงา!I484"")"),0)</f>
        <v>0</v>
      </c>
      <c r="J589" s="194">
        <f ca="1">IFERROR(__xludf.DUMMYFUNCTION("IMPORTRANGE(""https://docs.google.com/spreadsheets/d/1IYY_tgx_IHuhSq3AJ5eI5OnqOPBNLWSHKh2a30DoXe8/edit?usp=sharing"",""พังงา!J484"")"),0)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2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IFERROR(__xludf.DUMMYFUNCTION("IMPORTRANGE(""https://docs.google.com/spreadsheets/d/1IYY_tgx_IHuhSq3AJ5eI5OnqOPBNLWSHKh2a30DoXe8/edit?usp=sharing"",""พังงา!I485"")"),0)</f>
        <v>0</v>
      </c>
      <c r="J590" s="194">
        <f ca="1">IFERROR(__xludf.DUMMYFUNCTION("IMPORTRANGE(""https://docs.google.com/spreadsheets/d/1IYY_tgx_IHuhSq3AJ5eI5OnqOPBNLWSHKh2a30DoXe8/edit?usp=sharing"",""พังงา!J485"")"),0)</f>
        <v>0</v>
      </c>
      <c r="K590" s="486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IFERROR(__xludf.DUMMYFUNCTION("IMPORTRANGE(""https://docs.google.com/spreadsheets/d/1IYY_tgx_IHuhSq3AJ5eI5OnqOPBNLWSHKh2a30DoXe8/edit?usp=sharing"",""พังงา!I486"")"),0)</f>
        <v>0</v>
      </c>
      <c r="J591" s="194">
        <f ca="1">IFERROR(__xludf.DUMMYFUNCTION("IMPORTRANGE(""https://docs.google.com/spreadsheets/d/1IYY_tgx_IHuhSq3AJ5eI5OnqOPBNLWSHKh2a30DoXe8/edit?usp=sharing"",""พังงา!J486"")"),0)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2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IFERROR(__xludf.DUMMYFUNCTION("IMPORTRANGE(""https://docs.google.com/spreadsheets/d/1IYY_tgx_IHuhSq3AJ5eI5OnqOPBNLWSHKh2a30DoXe8/edit?usp=sharing"",""พังงา!I487"")"),0)</f>
        <v>0</v>
      </c>
      <c r="J592" s="194">
        <f ca="1">IFERROR(__xludf.DUMMYFUNCTION("IMPORTRANGE(""https://docs.google.com/spreadsheets/d/1IYY_tgx_IHuhSq3AJ5eI5OnqOPBNLWSHKh2a30DoXe8/edit?usp=sharing"",""พังงา!J487"")"),0)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IFERROR(__xludf.DUMMYFUNCTION("IMPORTRANGE(""https://docs.google.com/spreadsheets/d/1IYY_tgx_IHuhSq3AJ5eI5OnqOPBNLWSHKh2a30DoXe8/edit?usp=sharing"",""พังงา!I488"")"),0)</f>
        <v>0</v>
      </c>
      <c r="J593" s="194">
        <f ca="1">IFERROR(__xludf.DUMMYFUNCTION("IMPORTRANGE(""https://docs.google.com/spreadsheets/d/1IYY_tgx_IHuhSq3AJ5eI5OnqOPBNLWSHKh2a30DoXe8/edit?usp=sharing"",""พังงา!J488"")"),0)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2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IFERROR(__xludf.DUMMYFUNCTION("IMPORTRANGE(""https://docs.google.com/spreadsheets/d/1IYY_tgx_IHuhSq3AJ5eI5OnqOPBNLWSHKh2a30DoXe8/edit?usp=sharing"",""พังงา!I489"")"),0)</f>
        <v>0</v>
      </c>
      <c r="J594" s="194">
        <f ca="1">IFERROR(__xludf.DUMMYFUNCTION("IMPORTRANGE(""https://docs.google.com/spreadsheets/d/1IYY_tgx_IHuhSq3AJ5eI5OnqOPBNLWSHKh2a30DoXe8/edit?usp=sharing"",""พังงา!J489"")"),0)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IFERROR(__xludf.DUMMYFUNCTION("IMPORTRANGE(""https://docs.google.com/spreadsheets/d/1IYY_tgx_IHuhSq3AJ5eI5OnqOPBNLWSHKh2a30DoXe8/edit?usp=sharing"",""พังงา!I490"")"),0)</f>
        <v>0</v>
      </c>
      <c r="J595" s="194">
        <f ca="1">IFERROR(__xludf.DUMMYFUNCTION("IMPORTRANGE(""https://docs.google.com/spreadsheets/d/1IYY_tgx_IHuhSq3AJ5eI5OnqOPBNLWSHKh2a30DoXe8/edit?usp=sharing"",""พังงา!J490"")"),0)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2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IFERROR(__xludf.DUMMYFUNCTION("IMPORTRANGE(""https://docs.google.com/spreadsheets/d/1IYY_tgx_IHuhSq3AJ5eI5OnqOPBNLWSHKh2a30DoXe8/edit?usp=sharing"",""พังงา!I491"")"),0)</f>
        <v>0</v>
      </c>
      <c r="J596" s="247">
        <f ca="1">IFERROR(__xludf.DUMMYFUNCTION("IMPORTRANGE(""https://docs.google.com/spreadsheets/d/1IYY_tgx_IHuhSq3AJ5eI5OnqOPBNLWSHKh2a30DoXe8/edit?usp=sharing"",""พังงา!J491"")"),0)</f>
        <v>0</v>
      </c>
      <c r="K596" s="493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IFERROR(__xludf.DUMMYFUNCTION("IMPORTRANGE(""https://docs.google.com/spreadsheets/d/1IYY_tgx_IHuhSq3AJ5eI5OnqOPBNLWSHKh2a30DoXe8/edit?usp=sharing"",""พังงา!I492"")"),50)</f>
        <v>50</v>
      </c>
      <c r="J597" s="494">
        <f ca="1">IFERROR(__xludf.DUMMYFUNCTION("IMPORTRANGE(""https://docs.google.com/spreadsheets/d/1IYY_tgx_IHuhSq3AJ5eI5OnqOPBNLWSHKh2a30DoXe8/edit?usp=sharing"",""พังงา!J492"")"),0)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IFERROR(__xludf.DUMMYFUNCTION("IMPORTRANGE(""https://docs.google.com/spreadsheets/d/1IYY_tgx_IHuhSq3AJ5eI5OnqOPBNLWSHKh2a30DoXe8/edit?usp=sharing"",""พังงา!L492"")"),2600)</f>
        <v>2600</v>
      </c>
      <c r="M597" s="418"/>
      <c r="N597" s="418">
        <f ca="1">IFERROR(__xludf.DUMMYFUNCTION("IMPORTRANGE(""https://docs.google.com/spreadsheets/d/1IYY_tgx_IHuhSq3AJ5eI5OnqOPBNLWSHKh2a30DoXe8/edit?usp=sharing"",""พังงา!M492"")"),1920)</f>
        <v>1920</v>
      </c>
      <c r="O597" s="418">
        <f t="shared" ref="O597:O601" ca="1" si="126">+IF(L597&gt;0,N597*100/L597,0)</f>
        <v>73.84615384615384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IFERROR(__xludf.DUMMYFUNCTION("IMPORTRANGE(""https://docs.google.com/spreadsheets/d/1IYY_tgx_IHuhSq3AJ5eI5OnqOPBNLWSHKh2a30DoXe8/edit?usp=sharing"",""พังงา!L493"")"),0)</f>
        <v>0</v>
      </c>
      <c r="M598" s="168"/>
      <c r="N598" s="175">
        <f ca="1">IFERROR(__xludf.DUMMYFUNCTION("IMPORTRANGE(""https://docs.google.com/spreadsheets/d/1IYY_tgx_IHuhSq3AJ5eI5OnqOPBNLWSHKh2a30DoXe8/edit?usp=sharing"",""พังงา!M493"")"),0)</f>
        <v>0</v>
      </c>
      <c r="O598" s="175">
        <f t="shared" ca="1" si="126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IFERROR(__xludf.DUMMYFUNCTION("IMPORTRANGE(""https://docs.google.com/spreadsheets/d/1IYY_tgx_IHuhSq3AJ5eI5OnqOPBNLWSHKh2a30DoXe8/edit?usp=sharing"",""พังงา!L494"")"),2600)</f>
        <v>2600</v>
      </c>
      <c r="M599" s="169"/>
      <c r="N599" s="175">
        <f ca="1">IFERROR(__xludf.DUMMYFUNCTION("IMPORTRANGE(""https://docs.google.com/spreadsheets/d/1IYY_tgx_IHuhSq3AJ5eI5OnqOPBNLWSHKh2a30DoXe8/edit?usp=sharing"",""พังงา!M494"")"),1920)</f>
        <v>1920</v>
      </c>
      <c r="O599" s="175">
        <f t="shared" ca="1" si="126"/>
        <v>73.84615384615384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IFERROR(__xludf.DUMMYFUNCTION("IMPORTRANGE(""https://docs.google.com/spreadsheets/d/1IYY_tgx_IHuhSq3AJ5eI5OnqOPBNLWSHKh2a30DoXe8/edit?usp=sharing"",""พังงา!L495"")"),0)</f>
        <v>0</v>
      </c>
      <c r="M600" s="175"/>
      <c r="N600" s="175">
        <f ca="1">IFERROR(__xludf.DUMMYFUNCTION("IMPORTRANGE(""https://docs.google.com/spreadsheets/d/1IYY_tgx_IHuhSq3AJ5eI5OnqOPBNLWSHKh2a30DoXe8/edit?usp=sharing"",""พังงา!M495"")"),0)</f>
        <v>0</v>
      </c>
      <c r="O600" s="175">
        <f t="shared" ca="1" si="126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IFERROR(__xludf.DUMMYFUNCTION("IMPORTRANGE(""https://docs.google.com/spreadsheets/d/1IYY_tgx_IHuhSq3AJ5eI5OnqOPBNLWSHKh2a30DoXe8/edit?usp=sharing"",""พังงา!L496"")"),2600)</f>
        <v>2600</v>
      </c>
      <c r="M601" s="175"/>
      <c r="N601" s="175">
        <f ca="1">IFERROR(__xludf.DUMMYFUNCTION("IMPORTRANGE(""https://docs.google.com/spreadsheets/d/1IYY_tgx_IHuhSq3AJ5eI5OnqOPBNLWSHKh2a30DoXe8/edit?usp=sharing"",""พังงา!M496"")"),1920)</f>
        <v>1920</v>
      </c>
      <c r="O601" s="175">
        <f t="shared" ca="1" si="126"/>
        <v>73.84615384615384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IFERROR(__xludf.DUMMYFUNCTION("IMPORTRANGE(""https://docs.google.com/spreadsheets/d/1IYY_tgx_IHuhSq3AJ5eI5OnqOPBNLWSHKh2a30DoXe8/edit?usp=sharing"",""พังงา!M497"")"),0)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IFERROR(__xludf.DUMMYFUNCTION("IMPORTRANGE(""https://docs.google.com/spreadsheets/d/1IYY_tgx_IHuhSq3AJ5eI5OnqOPBNLWSHKh2a30DoXe8/edit?usp=sharing"",""พังงา!M498"")"),0)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IFERROR(__xludf.DUMMYFUNCTION("IMPORTRANGE(""https://docs.google.com/spreadsheets/d/1IYY_tgx_IHuhSq3AJ5eI5OnqOPBNLWSHKh2a30DoXe8/edit?usp=sharing"",""พังงา!M499"")"),0)</f>
        <v>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IFERROR(__xludf.DUMMYFUNCTION("IMPORTRANGE(""https://docs.google.com/spreadsheets/d/1IYY_tgx_IHuhSq3AJ5eI5OnqOPBNLWSHKh2a30DoXe8/edit?usp=sharing"",""พังงา!M500"")"),1920)</f>
        <v>1920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IFERROR(__xludf.DUMMYFUNCTION("IMPORTRANGE(""https://docs.google.com/spreadsheets/d/1IYY_tgx_IHuhSq3AJ5eI5OnqOPBNLWSHKh2a30DoXe8/edit?usp=sharing"",""พังงา!J502"")"),0)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IFERROR(__xludf.DUMMYFUNCTION("IMPORTRANGE(""https://docs.google.com/spreadsheets/d/1IYY_tgx_IHuhSq3AJ5eI5OnqOPBNLWSHKh2a30DoXe8/edit?usp=sharing"",""พังงา!J503"")"),1)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IFERROR(__xludf.DUMMYFUNCTION("IMPORTRANGE(""https://docs.google.com/spreadsheets/d/1IYY_tgx_IHuhSq3AJ5eI5OnqOPBNLWSHKh2a30DoXe8/edit?usp=sharing"",""พังงา!J166"")"),0)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2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IFERROR(__xludf.DUMMYFUNCTION("IMPORTRANGE(""https://docs.google.com/spreadsheets/d/1IYY_tgx_IHuhSq3AJ5eI5OnqOPBNLWSHKh2a30DoXe8/edit?usp=sharing"",""พังงา!J166"")"),0)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IFERROR(__xludf.DUMMYFUNCTION("IMPORTRANGE(""https://docs.google.com/spreadsheets/d/1IYY_tgx_IHuhSq3AJ5eI5OnqOPBNLWSHKh2a30DoXe8/edit?usp=sharing"",""พังงา!I506"")"),50)</f>
        <v>50</v>
      </c>
      <c r="J611" s="166">
        <f ca="1">IFERROR(__xludf.DUMMYFUNCTION("IMPORTRANGE(""https://docs.google.com/spreadsheets/d/1IYY_tgx_IHuhSq3AJ5eI5OnqOPBNLWSHKh2a30DoXe8/edit?usp=sharing"",""พังงา!J506"")"),0)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IFERROR(__xludf.DUMMYFUNCTION("IMPORTRANGE(""https://docs.google.com/spreadsheets/d/1IYY_tgx_IHuhSq3AJ5eI5OnqOPBNLWSHKh2a30DoXe8/edit?usp=sharing"",""พังงา!I507"")"),0)</f>
        <v>0</v>
      </c>
      <c r="J612" s="204">
        <f ca="1">IFERROR(__xludf.DUMMYFUNCTION("IMPORTRANGE(""https://docs.google.com/spreadsheets/d/1IYY_tgx_IHuhSq3AJ5eI5OnqOPBNLWSHKh2a30DoXe8/edit?usp=sharing"",""พังงา!J507"")"),0)</f>
        <v>0</v>
      </c>
      <c r="K612" s="167">
        <f t="shared" ca="1" si="127"/>
        <v>0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IFERROR(__xludf.DUMMYFUNCTION("IMPORTRANGE(""https://docs.google.com/spreadsheets/d/1IYY_tgx_IHuhSq3AJ5eI5OnqOPBNLWSHKh2a30DoXe8/edit?usp=sharing"",""พังงา!I508"")"),0)</f>
        <v>0</v>
      </c>
      <c r="J613" s="204">
        <f ca="1">IFERROR(__xludf.DUMMYFUNCTION("IMPORTRANGE(""https://docs.google.com/spreadsheets/d/1IYY_tgx_IHuhSq3AJ5eI5OnqOPBNLWSHKh2a30DoXe8/edit?usp=sharing"",""พังงา!J508"")"),0)</f>
        <v>0</v>
      </c>
      <c r="K613" s="167">
        <f t="shared" ca="1" si="127"/>
        <v>0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IFERROR(__xludf.DUMMYFUNCTION("IMPORTRANGE(""https://docs.google.com/spreadsheets/d/1IYY_tgx_IHuhSq3AJ5eI5OnqOPBNLWSHKh2a30DoXe8/edit?usp=sharing"",""พังงา!I509"")"),0)</f>
        <v>0</v>
      </c>
      <c r="J614" s="204">
        <f ca="1">IFERROR(__xludf.DUMMYFUNCTION("IMPORTRANGE(""https://docs.google.com/spreadsheets/d/1IYY_tgx_IHuhSq3AJ5eI5OnqOPBNLWSHKh2a30DoXe8/edit?usp=sharing"",""พังงา!J509"")"),0)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IFERROR(__xludf.DUMMYFUNCTION("IMPORTRANGE(""https://docs.google.com/spreadsheets/d/1IYY_tgx_IHuhSq3AJ5eI5OnqOPBNLWSHKh2a30DoXe8/edit?usp=sharing"",""พังงา!I510"")"),0)</f>
        <v>0</v>
      </c>
      <c r="J615" s="204">
        <f ca="1">IFERROR(__xludf.DUMMYFUNCTION("IMPORTRANGE(""https://docs.google.com/spreadsheets/d/1IYY_tgx_IHuhSq3AJ5eI5OnqOPBNLWSHKh2a30DoXe8/edit?usp=sharing"",""พังงา!J510"")"),0)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IFERROR(__xludf.DUMMYFUNCTION("IMPORTRANGE(""https://docs.google.com/spreadsheets/d/1IYY_tgx_IHuhSq3AJ5eI5OnqOPBNLWSHKh2a30DoXe8/edit?usp=sharing"",""พังงา!I511"")"),0)</f>
        <v>0</v>
      </c>
      <c r="J616" s="204">
        <f ca="1">IFERROR(__xludf.DUMMYFUNCTION("IMPORTRANGE(""https://docs.google.com/spreadsheets/d/1IYY_tgx_IHuhSq3AJ5eI5OnqOPBNLWSHKh2a30DoXe8/edit?usp=sharing"",""พังงา!J511"")"),0)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IFERROR(__xludf.DUMMYFUNCTION("IMPORTRANGE(""https://docs.google.com/spreadsheets/d/1IYY_tgx_IHuhSq3AJ5eI5OnqOPBNLWSHKh2a30DoXe8/edit?usp=sharing"",""พังงา!I512"")"),0)</f>
        <v>0</v>
      </c>
      <c r="J617" s="194">
        <f ca="1">IFERROR(__xludf.DUMMYFUNCTION("IMPORTRANGE(""https://docs.google.com/spreadsheets/d/1IYY_tgx_IHuhSq3AJ5eI5OnqOPBNLWSHKh2a30DoXe8/edit?usp=sharing"",""พังงา!J512"")"),0)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IFERROR(__xludf.DUMMYFUNCTION("IMPORTRANGE(""https://docs.google.com/spreadsheets/d/1IYY_tgx_IHuhSq3AJ5eI5OnqOPBNLWSHKh2a30DoXe8/edit?usp=sharing"",""พังงา!I513"")"),0)</f>
        <v>0</v>
      </c>
      <c r="J618" s="195">
        <f ca="1">IFERROR(__xludf.DUMMYFUNCTION("IMPORTRANGE(""https://docs.google.com/spreadsheets/d/1IYY_tgx_IHuhSq3AJ5eI5OnqOPBNLWSHKh2a30DoXe8/edit?usp=sharing"",""พังงา!J513"")"),0)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IFERROR(__xludf.DUMMYFUNCTION("IMPORTRANGE(""https://docs.google.com/spreadsheets/d/1IYY_tgx_IHuhSq3AJ5eI5OnqOPBNLWSHKh2a30DoXe8/edit?usp=sharing"",""พังงา!I514"")"),0)</f>
        <v>0</v>
      </c>
      <c r="J619" s="195">
        <f ca="1">IFERROR(__xludf.DUMMYFUNCTION("IMPORTRANGE(""https://docs.google.com/spreadsheets/d/1IYY_tgx_IHuhSq3AJ5eI5OnqOPBNLWSHKh2a30DoXe8/edit?usp=sharing"",""พังงา!J514"")"),0)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IFERROR(__xludf.DUMMYFUNCTION("IMPORTRANGE(""https://docs.google.com/spreadsheets/d/1IYY_tgx_IHuhSq3AJ5eI5OnqOPBNLWSHKh2a30DoXe8/edit?usp=sharing"",""พังงา!I515"")"),0)</f>
        <v>0</v>
      </c>
      <c r="J620" s="209">
        <f ca="1">IFERROR(__xludf.DUMMYFUNCTION("IMPORTRANGE(""https://docs.google.com/spreadsheets/d/1IYY_tgx_IHuhSq3AJ5eI5OnqOPBNLWSHKh2a30DoXe8/edit?usp=sharing"",""พังงา!J515"")"),0)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IFERROR(__xludf.DUMMYFUNCTION("IMPORTRANGE(""https://docs.google.com/spreadsheets/d/1IYY_tgx_IHuhSq3AJ5eI5OnqOPBNLWSHKh2a30DoXe8/edit?usp=sharing"",""พังงา!I516"")"),0)</f>
        <v>0</v>
      </c>
      <c r="J621" s="209">
        <f ca="1">IFERROR(__xludf.DUMMYFUNCTION("IMPORTRANGE(""https://docs.google.com/spreadsheets/d/1IYY_tgx_IHuhSq3AJ5eI5OnqOPBNLWSHKh2a30DoXe8/edit?usp=sharing"",""พังงา!J516"")"),0)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IFERROR(__xludf.DUMMYFUNCTION("IMPORTRANGE(""https://docs.google.com/spreadsheets/d/1IYY_tgx_IHuhSq3AJ5eI5OnqOPBNLWSHKh2a30DoXe8/edit?usp=sharing"",""พังงา!I517"")"),0)</f>
        <v>0</v>
      </c>
      <c r="J622" s="195">
        <f ca="1">IFERROR(__xludf.DUMMYFUNCTION("IMPORTRANGE(""https://docs.google.com/spreadsheets/d/1IYY_tgx_IHuhSq3AJ5eI5OnqOPBNLWSHKh2a30DoXe8/edit?usp=sharing"",""พังงา!J517"")"),0)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IFERROR(__xludf.DUMMYFUNCTION("IMPORTRANGE(""https://docs.google.com/spreadsheets/d/1IYY_tgx_IHuhSq3AJ5eI5OnqOPBNLWSHKh2a30DoXe8/edit?usp=sharing"",""พังงา!I518"")"),0)</f>
        <v>0</v>
      </c>
      <c r="J623" s="195">
        <f ca="1">IFERROR(__xludf.DUMMYFUNCTION("IMPORTRANGE(""https://docs.google.com/spreadsheets/d/1IYY_tgx_IHuhSq3AJ5eI5OnqOPBNLWSHKh2a30DoXe8/edit?usp=sharing"",""พังงา!J518"")"),0)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IFERROR(__xludf.DUMMYFUNCTION("IMPORTRANGE(""https://docs.google.com/spreadsheets/d/1IYY_tgx_IHuhSq3AJ5eI5OnqOPBNLWSHKh2a30DoXe8/edit?usp=sharing"",""พังงา!I519"")"),0)</f>
        <v>0</v>
      </c>
      <c r="J624" s="194">
        <f ca="1">IFERROR(__xludf.DUMMYFUNCTION("IMPORTRANGE(""https://docs.google.com/spreadsheets/d/1IYY_tgx_IHuhSq3AJ5eI5OnqOPBNLWSHKh2a30DoXe8/edit?usp=sharing"",""พังงา!J519"")"),0)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IFERROR(__xludf.DUMMYFUNCTION("IMPORTRANGE(""https://docs.google.com/spreadsheets/d/1IYY_tgx_IHuhSq3AJ5eI5OnqOPBNLWSHKh2a30DoXe8/edit?usp=sharing"",""พังงา!I520"")"),0)</f>
        <v>0</v>
      </c>
      <c r="J625" s="195">
        <f ca="1">IFERROR(__xludf.DUMMYFUNCTION("IMPORTRANGE(""https://docs.google.com/spreadsheets/d/1IYY_tgx_IHuhSq3AJ5eI5OnqOPBNLWSHKh2a30DoXe8/edit?usp=sharing"",""พังงา!J520"")"),0)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IFERROR(__xludf.DUMMYFUNCTION("IMPORTRANGE(""https://docs.google.com/spreadsheets/d/1IYY_tgx_IHuhSq3AJ5eI5OnqOPBNLWSHKh2a30DoXe8/edit?usp=sharing"",""พังงา!I521"")"),0)</f>
        <v>0</v>
      </c>
      <c r="J626" s="195">
        <f ca="1">IFERROR(__xludf.DUMMYFUNCTION("IMPORTRANGE(""https://docs.google.com/spreadsheets/d/1IYY_tgx_IHuhSq3AJ5eI5OnqOPBNLWSHKh2a30DoXe8/edit?usp=sharing"",""พังงา!J521"")"),0)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2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2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IFERROR(__xludf.DUMMYFUNCTION("IMPORTRANGE(""https://docs.google.com/spreadsheets/d/1IYY_tgx_IHuhSq3AJ5eI5OnqOPBNLWSHKh2a30DoXe8/edit?usp=sharing"",""พังงา!I523"")"),1201269.01)</f>
        <v>1201269.01</v>
      </c>
      <c r="J628" s="347">
        <f ca="1">IFERROR(__xludf.DUMMYFUNCTION("IMPORTRANGE(""https://docs.google.com/spreadsheets/d/1IYY_tgx_IHuhSq3AJ5eI5OnqOPBNLWSHKh2a30DoXe8/edit?usp=sharing"",""พังงา!J523"")"),1191213.43)</f>
        <v>1191213.43</v>
      </c>
      <c r="K628" s="348">
        <f t="shared" ref="K628:K635" ca="1" si="129">IF(I628&gt;0,J628*100/I628,0)</f>
        <v>99.162920218844235</v>
      </c>
      <c r="L628" s="348"/>
      <c r="M628" s="348"/>
      <c r="N628" s="348"/>
      <c r="O628" s="175"/>
      <c r="P628" s="175"/>
    </row>
    <row r="629" spans="1:16" ht="21.75" customHeight="1" x14ac:dyDescent="0.2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IFERROR(__xludf.DUMMYFUNCTION("IMPORTRANGE(""https://docs.google.com/spreadsheets/d/1IYY_tgx_IHuhSq3AJ5eI5OnqOPBNLWSHKh2a30DoXe8/edit?usp=sharing"",""พังงา!I524"")"),91)</f>
        <v>91</v>
      </c>
      <c r="J629" s="347">
        <f ca="1">IFERROR(__xludf.DUMMYFUNCTION("IMPORTRANGE(""https://docs.google.com/spreadsheets/d/1IYY_tgx_IHuhSq3AJ5eI5OnqOPBNLWSHKh2a30DoXe8/edit?usp=sharing"",""พังงา!J524"")"),90)</f>
        <v>90</v>
      </c>
      <c r="K629" s="348">
        <f t="shared" ca="1" si="129"/>
        <v>98.901098901098905</v>
      </c>
      <c r="L629" s="348"/>
      <c r="M629" s="348"/>
      <c r="N629" s="348"/>
      <c r="O629" s="175"/>
      <c r="P629" s="175"/>
    </row>
    <row r="630" spans="1:16" ht="21.75" customHeight="1" x14ac:dyDescent="0.2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IFERROR(__xludf.DUMMYFUNCTION("IMPORTRANGE(""https://docs.google.com/spreadsheets/d/1IYY_tgx_IHuhSq3AJ5eI5OnqOPBNLWSHKh2a30DoXe8/edit?usp=sharing"",""พังงา!I525"")"),363408.27)</f>
        <v>363408.27</v>
      </c>
      <c r="J630" s="347">
        <f ca="1">IFERROR(__xludf.DUMMYFUNCTION("IMPORTRANGE(""https://docs.google.com/spreadsheets/d/1IYY_tgx_IHuhSq3AJ5eI5OnqOPBNLWSHKh2a30DoXe8/edit?usp=sharing"",""พังงา!J525"")"),134360.63)</f>
        <v>134360.63</v>
      </c>
      <c r="K630" s="348">
        <f t="shared" ca="1" si="129"/>
        <v>36.972364442889535</v>
      </c>
      <c r="L630" s="348"/>
      <c r="M630" s="348"/>
      <c r="N630" s="348"/>
      <c r="O630" s="175"/>
      <c r="P630" s="175"/>
    </row>
    <row r="631" spans="1:16" ht="21.75" customHeight="1" x14ac:dyDescent="0.2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IFERROR(__xludf.DUMMYFUNCTION("IMPORTRANGE(""https://docs.google.com/spreadsheets/d/1IYY_tgx_IHuhSq3AJ5eI5OnqOPBNLWSHKh2a30DoXe8/edit?usp=sharing"",""พังงา!I526"")"),15)</f>
        <v>15</v>
      </c>
      <c r="J631" s="347">
        <f ca="1">IFERROR(__xludf.DUMMYFUNCTION("IMPORTRANGE(""https://docs.google.com/spreadsheets/d/1IYY_tgx_IHuhSq3AJ5eI5OnqOPBNLWSHKh2a30DoXe8/edit?usp=sharing"",""พังงา!J526"")"),15)</f>
        <v>15</v>
      </c>
      <c r="K631" s="348">
        <f t="shared" ca="1" si="129"/>
        <v>100</v>
      </c>
      <c r="L631" s="348"/>
      <c r="M631" s="348"/>
      <c r="N631" s="348"/>
      <c r="O631" s="175"/>
      <c r="P631" s="175"/>
    </row>
    <row r="632" spans="1:16" ht="21.75" customHeight="1" x14ac:dyDescent="0.2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IFERROR(__xludf.DUMMYFUNCTION("IMPORTRANGE(""https://docs.google.com/spreadsheets/d/1IYY_tgx_IHuhSq3AJ5eI5OnqOPBNLWSHKh2a30DoXe8/edit?usp=sharing"",""พังงา!I527"")"),17992.36)</f>
        <v>17992.36</v>
      </c>
      <c r="J632" s="347">
        <f ca="1">IFERROR(__xludf.DUMMYFUNCTION("IMPORTRANGE(""https://docs.google.com/spreadsheets/d/1IYY_tgx_IHuhSq3AJ5eI5OnqOPBNLWSHKh2a30DoXe8/edit?usp=sharing"",""พังงา!J527"")"),12276.08)</f>
        <v>12276.08</v>
      </c>
      <c r="K632" s="348">
        <f t="shared" ca="1" si="129"/>
        <v>68.229404035935246</v>
      </c>
      <c r="L632" s="348"/>
      <c r="M632" s="348"/>
      <c r="N632" s="348"/>
      <c r="O632" s="175"/>
      <c r="P632" s="175"/>
    </row>
    <row r="633" spans="1:16" ht="21.75" customHeight="1" x14ac:dyDescent="0.2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IFERROR(__xludf.DUMMYFUNCTION("IMPORTRANGE(""https://docs.google.com/spreadsheets/d/1IYY_tgx_IHuhSq3AJ5eI5OnqOPBNLWSHKh2a30DoXe8/edit?usp=sharing"",""พังงา!I528"")"),49)</f>
        <v>49</v>
      </c>
      <c r="J633" s="347">
        <f ca="1">IFERROR(__xludf.DUMMYFUNCTION("IMPORTRANGE(""https://docs.google.com/spreadsheets/d/1IYY_tgx_IHuhSq3AJ5eI5OnqOPBNLWSHKh2a30DoXe8/edit?usp=sharing"",""พังงา!J528"")"),40)</f>
        <v>40</v>
      </c>
      <c r="K633" s="348">
        <f t="shared" ca="1" si="129"/>
        <v>81.632653061224488</v>
      </c>
      <c r="L633" s="348"/>
      <c r="M633" s="348"/>
      <c r="N633" s="348"/>
      <c r="O633" s="175"/>
      <c r="P633" s="175"/>
    </row>
    <row r="634" spans="1:16" ht="21.75" customHeight="1" x14ac:dyDescent="0.2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IFERROR(__xludf.DUMMYFUNCTION("IMPORTRANGE(""https://docs.google.com/spreadsheets/d/1IYY_tgx_IHuhSq3AJ5eI5OnqOPBNLWSHKh2a30DoXe8/edit?usp=sharing"",""พังงา!I529"")"),760000)</f>
        <v>760000</v>
      </c>
      <c r="J634" s="347">
        <f ca="1">IFERROR(__xludf.DUMMYFUNCTION("IMPORTRANGE(""https://docs.google.com/spreadsheets/d/1IYY_tgx_IHuhSq3AJ5eI5OnqOPBNLWSHKh2a30DoXe8/edit?usp=sharing"",""พังงา!J529"")"),600000)</f>
        <v>600000</v>
      </c>
      <c r="K634" s="348">
        <f t="shared" ca="1" si="129"/>
        <v>78.94736842105263</v>
      </c>
      <c r="L634" s="348"/>
      <c r="M634" s="348"/>
      <c r="N634" s="348"/>
      <c r="O634" s="175"/>
      <c r="P634" s="175"/>
    </row>
    <row r="635" spans="1:16" ht="21.75" customHeight="1" x14ac:dyDescent="0.25">
      <c r="A635" s="487"/>
      <c r="B635" s="489"/>
      <c r="C635" s="489"/>
      <c r="D635" s="488"/>
      <c r="E635" s="515"/>
      <c r="F635" s="515"/>
      <c r="G635" s="516"/>
      <c r="H635" s="517" t="s">
        <v>37</v>
      </c>
      <c r="I635" s="518">
        <f ca="1">IFERROR(__xludf.DUMMYFUNCTION("IMPORTRANGE(""https://docs.google.com/spreadsheets/d/1IYY_tgx_IHuhSq3AJ5eI5OnqOPBNLWSHKh2a30DoXe8/edit?usp=sharing"",""พังงา!I530"")"),15)</f>
        <v>15</v>
      </c>
      <c r="J635" s="518">
        <f ca="1">IFERROR(__xludf.DUMMYFUNCTION("IMPORTRANGE(""https://docs.google.com/spreadsheets/d/1IYY_tgx_IHuhSq3AJ5eI5OnqOPBNLWSHKh2a30DoXe8/edit?usp=sharing"",""พังงา!J530"")"),15)</f>
        <v>15</v>
      </c>
      <c r="K635" s="493">
        <f t="shared" ca="1" si="129"/>
        <v>100</v>
      </c>
      <c r="L635" s="493"/>
      <c r="M635" s="493"/>
      <c r="N635" s="493"/>
      <c r="O635" s="519"/>
      <c r="P635" s="519"/>
    </row>
    <row r="636" spans="1:16" ht="21.75" customHeight="1" x14ac:dyDescent="0.3">
      <c r="A636" s="520"/>
      <c r="B636" s="599" t="s">
        <v>237</v>
      </c>
      <c r="C636" s="600"/>
      <c r="D636" s="600"/>
      <c r="E636" s="600"/>
      <c r="F636" s="600"/>
      <c r="G636" s="600"/>
      <c r="H636" s="521"/>
      <c r="I636" s="521"/>
      <c r="J636" s="521"/>
      <c r="K636" s="522"/>
      <c r="L636" s="523">
        <f ca="1">SUM(L637,L638)</f>
        <v>250</v>
      </c>
      <c r="M636" s="524"/>
      <c r="N636" s="523">
        <f ca="1">SUM(N637:N638)</f>
        <v>0</v>
      </c>
      <c r="O636" s="523">
        <f t="shared" ref="O636:O640" ca="1" si="130">+IF(L636&gt;0,N636*100/L636,0)</f>
        <v>0</v>
      </c>
      <c r="P636" s="523"/>
    </row>
    <row r="637" spans="1:16" ht="21.75" customHeight="1" x14ac:dyDescent="0.3">
      <c r="A637" s="525"/>
      <c r="B637" s="526"/>
      <c r="C637" s="527" t="s">
        <v>16</v>
      </c>
      <c r="D637" s="601" t="s">
        <v>77</v>
      </c>
      <c r="E637" s="575"/>
      <c r="F637" s="575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130"/>
        <v>0</v>
      </c>
      <c r="P637" s="535"/>
    </row>
    <row r="638" spans="1:16" ht="21.75" customHeight="1" x14ac:dyDescent="0.3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250</v>
      </c>
      <c r="M638" s="534"/>
      <c r="N638" s="535">
        <f ca="1">SUM(N639:N640)</f>
        <v>0</v>
      </c>
      <c r="O638" s="535">
        <f t="shared" ca="1" si="130"/>
        <v>0</v>
      </c>
      <c r="P638" s="535"/>
    </row>
    <row r="639" spans="1:16" ht="21.75" customHeight="1" x14ac:dyDescent="0.3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130"/>
        <v>0</v>
      </c>
      <c r="P639" s="535"/>
    </row>
    <row r="640" spans="1:16" ht="21.75" customHeight="1" x14ac:dyDescent="0.3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250</v>
      </c>
      <c r="M640" s="534"/>
      <c r="N640" s="535">
        <f ca="1">SUM(N641:N644)</f>
        <v>0</v>
      </c>
      <c r="O640" s="535">
        <f t="shared" ca="1" si="130"/>
        <v>0</v>
      </c>
      <c r="P640" s="535"/>
    </row>
    <row r="641" spans="1:16" ht="21.75" customHeight="1" x14ac:dyDescent="0.3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3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3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3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0</v>
      </c>
      <c r="O644" s="537"/>
      <c r="P644" s="537"/>
    </row>
    <row r="645" spans="1:16" ht="21.75" customHeight="1" x14ac:dyDescent="0.3">
      <c r="A645" s="539"/>
      <c r="B645" s="540"/>
      <c r="C645" s="527" t="s">
        <v>16</v>
      </c>
      <c r="D645" s="602" t="s">
        <v>242</v>
      </c>
      <c r="E645" s="575"/>
      <c r="F645" s="575"/>
      <c r="G645" s="575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3">
      <c r="A646" s="539"/>
      <c r="B646" s="540"/>
      <c r="C646" s="540"/>
      <c r="D646" s="541">
        <v>1</v>
      </c>
      <c r="E646" s="603" t="s">
        <v>44</v>
      </c>
      <c r="F646" s="575"/>
      <c r="G646" s="575"/>
      <c r="H646" s="536"/>
      <c r="I646" s="542"/>
      <c r="J646" s="543">
        <f ca="1">IFERROR(__xludf.DUMMYFUNCTION("IMPORTRANGE(""https://docs.google.com/spreadsheets/d/1IYY_tgx_IHuhSq3AJ5eI5OnqOPBNLWSHKh2a30DoXe8/edit?usp=sharing"",""พังงา!J541"")"),0)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3">
      <c r="A647" s="539"/>
      <c r="B647" s="540"/>
      <c r="C647" s="540"/>
      <c r="D647" s="545">
        <v>2</v>
      </c>
      <c r="E647" s="604" t="s">
        <v>243</v>
      </c>
      <c r="F647" s="575"/>
      <c r="G647" s="575"/>
      <c r="H647" s="536"/>
      <c r="I647" s="542"/>
      <c r="J647" s="543">
        <f ca="1">IFERROR(__xludf.DUMMYFUNCTION("IMPORTRANGE(""https://docs.google.com/spreadsheets/d/1IYY_tgx_IHuhSq3AJ5eI5OnqOPBNLWSHKh2a30DoXe8/edit?usp=sharing"",""พังงา!J542"")"),0)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3">
      <c r="A648" s="525"/>
      <c r="B648" s="526"/>
      <c r="C648" s="526"/>
      <c r="D648" s="526"/>
      <c r="E648" s="526"/>
      <c r="F648" s="598" t="s">
        <v>244</v>
      </c>
      <c r="G648" s="575"/>
      <c r="H648" s="529" t="s">
        <v>122</v>
      </c>
      <c r="I648" s="546">
        <f ca="1">IFERROR(__xludf.DUMMYFUNCTION("IMPORTRANGE(""https://docs.google.com/spreadsheets/d/1IYY_tgx_IHuhSq3AJ5eI5OnqOPBNLWSHKh2a30DoXe8/edit?usp=sharing"",""พังงา!I543"")"),0)</f>
        <v>0</v>
      </c>
      <c r="J648" s="547">
        <f ca="1">IFERROR(__xludf.DUMMYFUNCTION("IMPORTRANGE(""https://docs.google.com/spreadsheets/d/1IYY_tgx_IHuhSq3AJ5eI5OnqOPBNLWSHKh2a30DoXe8/edit?usp=sharing"",""พังงา!J543"")"),0)</f>
        <v>0</v>
      </c>
      <c r="K648" s="548">
        <f t="shared" ref="K648:K651" ca="1" si="131">IF(I648&gt;0,J648*100/I648,0)</f>
        <v>0</v>
      </c>
      <c r="L648" s="535">
        <f ca="1">IFERROR(__xludf.DUMMYFUNCTION("IMPORTRANGE(""https://docs.google.com/spreadsheets/d/1IYY_tgx_IHuhSq3AJ5eI5OnqOPBNLWSHKh2a30DoXe8/edit?usp=sharing"",""พังงา!L543"")"),0)</f>
        <v>0</v>
      </c>
      <c r="M648" s="534"/>
      <c r="N648" s="549">
        <f ca="1">IFERROR(__xludf.DUMMYFUNCTION("IMPORTRANGE(""https://docs.google.com/spreadsheets/d/1IYY_tgx_IHuhSq3AJ5eI5OnqOPBNLWSHKh2a30DoXe8/edit?usp=sharing"",""พังงา!M543"")"),0)</f>
        <v>0</v>
      </c>
      <c r="O648" s="548">
        <f t="shared" ref="O648:O651" ca="1" si="132">IF(L648&gt;0,N648*100/L648,0)</f>
        <v>0</v>
      </c>
      <c r="P648" s="548"/>
    </row>
    <row r="649" spans="1:16" ht="21.75" customHeight="1" x14ac:dyDescent="0.3">
      <c r="A649" s="525"/>
      <c r="B649" s="526"/>
      <c r="C649" s="526"/>
      <c r="D649" s="526"/>
      <c r="E649" s="526"/>
      <c r="F649" s="598" t="s">
        <v>245</v>
      </c>
      <c r="G649" s="575"/>
      <c r="H649" s="529" t="s">
        <v>37</v>
      </c>
      <c r="I649" s="546">
        <f ca="1">IFERROR(__xludf.DUMMYFUNCTION("IMPORTRANGE(""https://docs.google.com/spreadsheets/d/1IYY_tgx_IHuhSq3AJ5eI5OnqOPBNLWSHKh2a30DoXe8/edit?usp=sharing"",""พังงา!I544"")"),0)</f>
        <v>0</v>
      </c>
      <c r="J649" s="547">
        <f ca="1">IFERROR(__xludf.DUMMYFUNCTION("IMPORTRANGE(""https://docs.google.com/spreadsheets/d/1IYY_tgx_IHuhSq3AJ5eI5OnqOPBNLWSHKh2a30DoXe8/edit?usp=sharing"",""พังงา!J544"")"),0)</f>
        <v>0</v>
      </c>
      <c r="K649" s="548">
        <f t="shared" ca="1" si="131"/>
        <v>0</v>
      </c>
      <c r="L649" s="535">
        <f ca="1">IFERROR(__xludf.DUMMYFUNCTION("IMPORTRANGE(""https://docs.google.com/spreadsheets/d/1IYY_tgx_IHuhSq3AJ5eI5OnqOPBNLWSHKh2a30DoXe8/edit?usp=sharing"",""พังงา!L544"")"),0)</f>
        <v>0</v>
      </c>
      <c r="M649" s="534"/>
      <c r="N649" s="549">
        <f ca="1">IFERROR(__xludf.DUMMYFUNCTION("IMPORTRANGE(""https://docs.google.com/spreadsheets/d/1IYY_tgx_IHuhSq3AJ5eI5OnqOPBNLWSHKh2a30DoXe8/edit?usp=sharing"",""พังงา!M544"")"),0)</f>
        <v>0</v>
      </c>
      <c r="O649" s="548">
        <f t="shared" ca="1" si="132"/>
        <v>0</v>
      </c>
      <c r="P649" s="548"/>
    </row>
    <row r="650" spans="1:16" ht="21.75" customHeight="1" x14ac:dyDescent="0.3">
      <c r="A650" s="525"/>
      <c r="B650" s="526"/>
      <c r="C650" s="526"/>
      <c r="D650" s="526"/>
      <c r="E650" s="526"/>
      <c r="F650" s="598" t="s">
        <v>246</v>
      </c>
      <c r="G650" s="575"/>
      <c r="H650" s="529" t="s">
        <v>122</v>
      </c>
      <c r="I650" s="546">
        <f ca="1">IFERROR(__xludf.DUMMYFUNCTION("IMPORTRANGE(""https://docs.google.com/spreadsheets/d/1IYY_tgx_IHuhSq3AJ5eI5OnqOPBNLWSHKh2a30DoXe8/edit?usp=sharing"",""พังงา!I545"")"),50)</f>
        <v>50</v>
      </c>
      <c r="J650" s="547">
        <f ca="1">IFERROR(__xludf.DUMMYFUNCTION("IMPORTRANGE(""https://docs.google.com/spreadsheets/d/1IYY_tgx_IHuhSq3AJ5eI5OnqOPBNLWSHKh2a30DoXe8/edit?usp=sharing"",""พังงา!J545"")"),0)</f>
        <v>0</v>
      </c>
      <c r="K650" s="548">
        <f t="shared" ca="1" si="131"/>
        <v>0</v>
      </c>
      <c r="L650" s="535">
        <f ca="1">IFERROR(__xludf.DUMMYFUNCTION("IMPORTRANGE(""https://docs.google.com/spreadsheets/d/1IYY_tgx_IHuhSq3AJ5eI5OnqOPBNLWSHKh2a30DoXe8/edit?usp=sharing"",""พังงา!L545"")"),250)</f>
        <v>250</v>
      </c>
      <c r="M650" s="534"/>
      <c r="N650" s="549">
        <f ca="1">IFERROR(__xludf.DUMMYFUNCTION("IMPORTRANGE(""https://docs.google.com/spreadsheets/d/1IYY_tgx_IHuhSq3AJ5eI5OnqOPBNLWSHKh2a30DoXe8/edit?usp=sharing"",""พังงา!M545"")"),0)</f>
        <v>0</v>
      </c>
      <c r="O650" s="548">
        <f t="shared" ca="1" si="132"/>
        <v>0</v>
      </c>
      <c r="P650" s="548"/>
    </row>
    <row r="651" spans="1:16" ht="21.75" customHeight="1" x14ac:dyDescent="0.3">
      <c r="A651" s="525"/>
      <c r="B651" s="526"/>
      <c r="C651" s="526"/>
      <c r="D651" s="526"/>
      <c r="E651" s="526"/>
      <c r="F651" s="598" t="s">
        <v>247</v>
      </c>
      <c r="G651" s="575"/>
      <c r="H651" s="529" t="s">
        <v>122</v>
      </c>
      <c r="I651" s="546">
        <f ca="1">IFERROR(__xludf.DUMMYFUNCTION("IMPORTRANGE(""https://docs.google.com/spreadsheets/d/1IYY_tgx_IHuhSq3AJ5eI5OnqOPBNLWSHKh2a30DoXe8/edit?usp=sharing"",""พังงา!I546"")"),0)</f>
        <v>0</v>
      </c>
      <c r="J651" s="547">
        <f ca="1">J657+J660</f>
        <v>0</v>
      </c>
      <c r="K651" s="548">
        <f t="shared" ca="1" si="131"/>
        <v>0</v>
      </c>
      <c r="L651" s="535">
        <f ca="1">IFERROR(__xludf.DUMMYFUNCTION("IMPORTRANGE(""https://docs.google.com/spreadsheets/d/1IYY_tgx_IHuhSq3AJ5eI5OnqOPBNLWSHKh2a30DoXe8/edit?usp=sharing"",""พังงา!L546"")"),0)</f>
        <v>0</v>
      </c>
      <c r="M651" s="534"/>
      <c r="N651" s="549">
        <f ca="1">IFERROR(__xludf.DUMMYFUNCTION("IMPORTRANGE(""https://docs.google.com/spreadsheets/d/1IYY_tgx_IHuhSq3AJ5eI5OnqOPBNLWSHKh2a30DoXe8/edit?usp=sharing"",""พังงา!M546"")"),0)</f>
        <v>0</v>
      </c>
      <c r="O651" s="548">
        <f t="shared" ca="1" si="132"/>
        <v>0</v>
      </c>
      <c r="P651" s="548"/>
    </row>
    <row r="652" spans="1:16" ht="21.75" customHeight="1" x14ac:dyDescent="0.3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IFERROR(__xludf.DUMMYFUNCTION("IMPORTRANGE(""https://docs.google.com/spreadsheets/d/1IYY_tgx_IHuhSq3AJ5eI5OnqOPBNLWSHKh2a30DoXe8/edit?usp=sharing"",""พังงา!J547"")"),0)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3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IFERROR(__xludf.DUMMYFUNCTION("IMPORTRANGE(""https://docs.google.com/spreadsheets/d/1IYY_tgx_IHuhSq3AJ5eI5OnqOPBNLWSHKh2a30DoXe8/edit?usp=sharing"",""พังงา!J548"")"),0)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3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3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IFERROR(__xludf.DUMMYFUNCTION("IMPORTRANGE(""https://docs.google.com/spreadsheets/d/1IYY_tgx_IHuhSq3AJ5eI5OnqOPBNLWSHKh2a30DoXe8/edit?usp=sharing"",""พังงา!J550"")"),0)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3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IFERROR(__xludf.DUMMYFUNCTION("IMPORTRANGE(""https://docs.google.com/spreadsheets/d/1IYY_tgx_IHuhSq3AJ5eI5OnqOPBNLWSHKh2a30DoXe8/edit?usp=sharing"",""พังงา!J551"")"),0)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3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IFERROR(__xludf.DUMMYFUNCTION("IMPORTRANGE(""https://docs.google.com/spreadsheets/d/1IYY_tgx_IHuhSq3AJ5eI5OnqOPBNLWSHKh2a30DoXe8/edit?usp=sharing"",""พังงา!J552"")"),0)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3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IFERROR(__xludf.DUMMYFUNCTION("IMPORTRANGE(""https://docs.google.com/spreadsheets/d/1IYY_tgx_IHuhSq3AJ5eI5OnqOPBNLWSHKh2a30DoXe8/edit?usp=sharing"",""พังงา!J553"")"),0)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3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IFERROR(__xludf.DUMMYFUNCTION("IMPORTRANGE(""https://docs.google.com/spreadsheets/d/1IYY_tgx_IHuhSq3AJ5eI5OnqOPBNLWSHKh2a30DoXe8/edit?usp=sharing"",""พังงา!J554"")"),0)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3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IFERROR(__xludf.DUMMYFUNCTION("IMPORTRANGE(""https://docs.google.com/spreadsheets/d/1IYY_tgx_IHuhSq3AJ5eI5OnqOPBNLWSHKh2a30DoXe8/edit?usp=sharing"",""พังงา!J555"")"),0)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3">
      <c r="A661" s="525"/>
      <c r="B661" s="526"/>
      <c r="C661" s="526"/>
      <c r="D661" s="526"/>
      <c r="E661" s="526"/>
      <c r="F661" s="598" t="s">
        <v>252</v>
      </c>
      <c r="G661" s="575"/>
      <c r="H661" s="529" t="s">
        <v>37</v>
      </c>
      <c r="I661" s="550"/>
      <c r="J661" s="547">
        <f ca="1">IFERROR(__xludf.DUMMYFUNCTION("IMPORTRANGE(""https://docs.google.com/spreadsheets/d/1IYY_tgx_IHuhSq3AJ5eI5OnqOPBNLWSHKh2a30DoXe8/edit?usp=sharing"",""พังงา!J556"")"),0)</f>
        <v>0</v>
      </c>
      <c r="K661" s="548"/>
      <c r="L661" s="535">
        <f ca="1">IFERROR(__xludf.DUMMYFUNCTION("IMPORTRANGE(""https://docs.google.com/spreadsheets/d/1IYY_tgx_IHuhSq3AJ5eI5OnqOPBNLWSHKh2a30DoXe8/edit?usp=sharing"",""พังงา!L556"")"),0)</f>
        <v>0</v>
      </c>
      <c r="M661" s="534"/>
      <c r="N661" s="549">
        <f ca="1">IFERROR(__xludf.DUMMYFUNCTION("IMPORTRANGE(""https://docs.google.com/spreadsheets/d/1IYY_tgx_IHuhSq3AJ5eI5OnqOPBNLWSHKh2a30DoXe8/edit?usp=sharing"",""พังงา!M556"")"),0)</f>
        <v>0</v>
      </c>
      <c r="O661" s="548">
        <f ca="1">IF(L661&gt;0,N661*100/L661,0)</f>
        <v>0</v>
      </c>
      <c r="P661" s="548"/>
    </row>
    <row r="662" spans="1:16" ht="21.75" customHeight="1" x14ac:dyDescent="0.3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IFERROR(__xludf.DUMMYFUNCTION("IMPORTRANGE(""https://docs.google.com/spreadsheets/d/1IYY_tgx_IHuhSq3AJ5eI5OnqOPBNLWSHKh2a30DoXe8/edit?usp=sharing"",""พังงา!J557"")"),0)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3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IFERROR(__xludf.DUMMYFUNCTION("IMPORTRANGE(""https://docs.google.com/spreadsheets/d/1IYY_tgx_IHuhSq3AJ5eI5OnqOPBNLWSHKh2a30DoXe8/edit?usp=sharing"",""พังงา!I558"")"),0)</f>
        <v>0</v>
      </c>
      <c r="J663" s="547">
        <f ca="1">IFERROR(__xludf.DUMMYFUNCTION("IMPORTRANGE(""https://docs.google.com/spreadsheets/d/1IYY_tgx_IHuhSq3AJ5eI5OnqOPBNLWSHKh2a30DoXe8/edit?usp=sharing"",""พังงา!J558"")"),0)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3">
      <c r="A664" s="525"/>
      <c r="B664" s="526"/>
      <c r="C664" s="526"/>
      <c r="D664" s="526"/>
      <c r="E664" s="526"/>
      <c r="F664" s="598" t="s">
        <v>253</v>
      </c>
      <c r="G664" s="575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3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IFERROR(__xludf.DUMMYFUNCTION("IMPORTRANGE(""https://docs.google.com/spreadsheets/d/1IYY_tgx_IHuhSq3AJ5eI5OnqOPBNLWSHKh2a30DoXe8/edit?usp=sharing"",""พังงา!I560"")"),0)</f>
        <v>0</v>
      </c>
      <c r="J665" s="547">
        <f ca="1">IFERROR(__xludf.DUMMYFUNCTION("IMPORTRANGE(""https://docs.google.com/spreadsheets/d/1IYY_tgx_IHuhSq3AJ5eI5OnqOPBNLWSHKh2a30DoXe8/edit?usp=sharing"",""พังงา!J560"")"),0)</f>
        <v>0</v>
      </c>
      <c r="K665" s="548">
        <f ca="1">IF(I665&gt;0,J665*100/I665,0)</f>
        <v>0</v>
      </c>
      <c r="L665" s="535">
        <f ca="1">IFERROR(__xludf.DUMMYFUNCTION("IMPORTRANGE(""https://docs.google.com/spreadsheets/d/1IYY_tgx_IHuhSq3AJ5eI5OnqOPBNLWSHKh2a30DoXe8/edit?usp=sharing"",""พังงา!L560"")"),0)</f>
        <v>0</v>
      </c>
      <c r="M665" s="534"/>
      <c r="N665" s="549">
        <f ca="1">IFERROR(__xludf.DUMMYFUNCTION("IMPORTRANGE(""https://docs.google.com/spreadsheets/d/1IYY_tgx_IHuhSq3AJ5eI5OnqOPBNLWSHKh2a30DoXe8/edit?usp=sharing"",""พังงา!M560"")"),0)</f>
        <v>0</v>
      </c>
      <c r="O665" s="548">
        <f ca="1">IF(L665&gt;0,N665*100/L665,0)</f>
        <v>0</v>
      </c>
      <c r="P665" s="548"/>
    </row>
    <row r="666" spans="1:16" ht="21.75" customHeight="1" x14ac:dyDescent="0.3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IFERROR(__xludf.DUMMYFUNCTION("IMPORTRANGE(""https://docs.google.com/spreadsheets/d/1IYY_tgx_IHuhSq3AJ5eI5OnqOPBNLWSHKh2a30DoXe8/edit?usp=sharing"",""พังงา!J561"")"),0)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3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IFERROR(__xludf.DUMMYFUNCTION("IMPORTRANGE(""https://docs.google.com/spreadsheets/d/1IYY_tgx_IHuhSq3AJ5eI5OnqOPBNLWSHKh2a30DoXe8/edit?usp=sharing"",""พังงา!J562"")"),0)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3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IFERROR(__xludf.DUMMYFUNCTION("IMPORTRANGE(""https://docs.google.com/spreadsheets/d/1IYY_tgx_IHuhSq3AJ5eI5OnqOPBNLWSHKh2a30DoXe8/edit?usp=sharing"",""พังงา!I563"")"),0)</f>
        <v>0</v>
      </c>
      <c r="J668" s="547">
        <f ca="1">IFERROR(__xludf.DUMMYFUNCTION("IMPORTRANGE(""https://docs.google.com/spreadsheets/d/1IYY_tgx_IHuhSq3AJ5eI5OnqOPBNLWSHKh2a30DoXe8/edit?usp=sharing"",""พังงา!J563"")"),0)</f>
        <v>0</v>
      </c>
      <c r="K668" s="548">
        <f ca="1">IF(I668&gt;0,J668*100/I668,0)</f>
        <v>0</v>
      </c>
      <c r="L668" s="535">
        <f ca="1">IFERROR(__xludf.DUMMYFUNCTION("IMPORTRANGE(""https://docs.google.com/spreadsheets/d/1IYY_tgx_IHuhSq3AJ5eI5OnqOPBNLWSHKh2a30DoXe8/edit?usp=sharing"",""พังงา!L563"")"),0)</f>
        <v>0</v>
      </c>
      <c r="M668" s="534"/>
      <c r="N668" s="549">
        <f ca="1">IFERROR(__xludf.DUMMYFUNCTION("IMPORTRANGE(""https://docs.google.com/spreadsheets/d/1IYY_tgx_IHuhSq3AJ5eI5OnqOPBNLWSHKh2a30DoXe8/edit?usp=sharing"",""พังงา!M563"")"),0)</f>
        <v>0</v>
      </c>
      <c r="O668" s="548">
        <f ca="1">IF(L668&gt;0,N668*100/L668,0)</f>
        <v>0</v>
      </c>
      <c r="P668" s="548"/>
    </row>
    <row r="669" spans="1:16" ht="21.75" customHeight="1" x14ac:dyDescent="0.3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IFERROR(__xludf.DUMMYFUNCTION("IMPORTRANGE(""https://docs.google.com/spreadsheets/d/1IYY_tgx_IHuhSq3AJ5eI5OnqOPBNLWSHKh2a30DoXe8/edit?usp=sharing"",""พังงา!J564"")"),0)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3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IFERROR(__xludf.DUMMYFUNCTION("IMPORTRANGE(""https://docs.google.com/spreadsheets/d/1IYY_tgx_IHuhSq3AJ5eI5OnqOPBNLWSHKh2a30DoXe8/edit?usp=sharing"",""พังงา!J565"")"),0)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3">
      <c r="A671" s="525"/>
      <c r="B671" s="526"/>
      <c r="C671" s="526"/>
      <c r="D671" s="526"/>
      <c r="E671" s="526"/>
      <c r="F671" s="598" t="s">
        <v>256</v>
      </c>
      <c r="G671" s="575"/>
      <c r="H671" s="529" t="s">
        <v>122</v>
      </c>
      <c r="I671" s="546">
        <f ca="1">IFERROR(__xludf.DUMMYFUNCTION("IMPORTRANGE(""https://docs.google.com/spreadsheets/d/1IYY_tgx_IHuhSq3AJ5eI5OnqOPBNLWSHKh2a30DoXe8/edit?usp=sharing"",""พังงา!I566"")"),0)</f>
        <v>0</v>
      </c>
      <c r="J671" s="547">
        <f ca="1">J674+J677</f>
        <v>0</v>
      </c>
      <c r="K671" s="548">
        <f ca="1">IF(I671&gt;0,J671*100/I671,0)</f>
        <v>0</v>
      </c>
      <c r="L671" s="535">
        <f ca="1">IFERROR(__xludf.DUMMYFUNCTION("IMPORTRANGE(""https://docs.google.com/spreadsheets/d/1IYY_tgx_IHuhSq3AJ5eI5OnqOPBNLWSHKh2a30DoXe8/edit?usp=sharing"",""พังงา!L566"")"),0)</f>
        <v>0</v>
      </c>
      <c r="M671" s="534"/>
      <c r="N671" s="549">
        <f ca="1">IFERROR(__xludf.DUMMYFUNCTION("IMPORTRANGE(""https://docs.google.com/spreadsheets/d/1IYY_tgx_IHuhSq3AJ5eI5OnqOPBNLWSHKh2a30DoXe8/edit?usp=sharing"",""พังงา!M566"")"),0)</f>
        <v>0</v>
      </c>
      <c r="O671" s="548">
        <f ca="1">IF(L671&gt;0,N671*100/L671,0)</f>
        <v>0</v>
      </c>
      <c r="P671" s="548"/>
    </row>
    <row r="672" spans="1:16" ht="21.75" customHeight="1" x14ac:dyDescent="0.3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IFERROR(__xludf.DUMMYFUNCTION("IMPORTRANGE(""https://docs.google.com/spreadsheets/d/1IYY_tgx_IHuhSq3AJ5eI5OnqOPBNLWSHKh2a30DoXe8/edit?usp=sharing"",""พังงา!J567"")"),0)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3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IFERROR(__xludf.DUMMYFUNCTION("IMPORTRANGE(""https://docs.google.com/spreadsheets/d/1IYY_tgx_IHuhSq3AJ5eI5OnqOPBNLWSHKh2a30DoXe8/edit?usp=sharing"",""พังงา!J568"")"),0)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3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IFERROR(__xludf.DUMMYFUNCTION("IMPORTRANGE(""https://docs.google.com/spreadsheets/d/1IYY_tgx_IHuhSq3AJ5eI5OnqOPBNLWSHKh2a30DoXe8/edit?usp=sharing"",""พังงา!J569"")"),0)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3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IFERROR(__xludf.DUMMYFUNCTION("IMPORTRANGE(""https://docs.google.com/spreadsheets/d/1IYY_tgx_IHuhSq3AJ5eI5OnqOPBNLWSHKh2a30DoXe8/edit?usp=sharing"",""พังงา!J570"")"),0)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3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IFERROR(__xludf.DUMMYFUNCTION("IMPORTRANGE(""https://docs.google.com/spreadsheets/d/1IYY_tgx_IHuhSq3AJ5eI5OnqOPBNLWSHKh2a30DoXe8/edit?usp=sharing"",""พังงา!J571"")"),0)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3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IFERROR(__xludf.DUMMYFUNCTION("IMPORTRANGE(""https://docs.google.com/spreadsheets/d/1IYY_tgx_IHuhSq3AJ5eI5OnqOPBNLWSHKh2a30DoXe8/edit?usp=sharing"",""พังงา!J572"")"),0)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2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2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2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2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2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2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2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2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2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2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2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2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2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2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2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2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2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2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2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2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2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2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2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2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2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2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2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2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2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2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2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2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2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2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2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2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2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2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2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2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2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2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2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2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2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2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2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2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2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2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2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2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2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2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2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2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2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2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2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2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2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2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2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2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2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2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2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2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2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2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2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2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2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2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2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2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2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2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2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2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2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2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2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2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2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2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2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2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2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2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2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2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2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2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2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2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2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2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2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2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2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2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2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2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2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2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2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2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2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2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2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2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2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2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2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2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2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2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2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2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2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2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2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2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2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2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2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2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2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2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2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2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2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2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2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2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2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2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2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2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2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2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2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2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2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2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2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2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2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2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2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2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2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2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2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2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2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2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2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2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2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2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2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2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2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2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2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2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2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2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2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2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2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2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2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2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2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2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2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2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2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2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2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2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2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2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2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2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2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2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2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2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2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2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2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2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2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2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2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2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2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2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2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2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2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2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2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2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2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2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2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2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2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2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2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2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2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2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2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2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2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2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2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2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2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2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2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2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2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2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2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2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2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2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2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2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2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2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2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2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2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2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2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2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2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2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2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2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2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2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2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2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2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2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2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2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2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2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2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2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2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2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2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2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2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2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2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2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2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2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2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2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2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2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2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2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2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2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2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2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2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2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2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2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2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2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2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2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2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2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2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2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2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2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2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2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2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2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2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2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2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2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2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2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2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2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2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2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2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2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2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2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2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2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2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2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2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2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2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2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2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2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2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2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2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2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2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2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2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2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2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2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2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2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2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2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2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2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2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2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2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2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2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2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2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2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2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2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2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2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2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2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2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2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2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2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2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2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2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2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2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2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2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2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2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2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2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2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2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2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2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2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2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2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2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2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2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2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2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2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2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2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2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2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2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2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2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2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2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2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2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2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2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2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2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2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2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2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2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2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2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2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2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2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2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2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2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2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2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2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2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2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2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2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2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2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2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2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2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2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2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2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2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2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2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2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2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2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2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2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2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2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2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2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2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2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2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2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2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2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2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2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2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2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2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2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2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2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2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2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2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2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2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2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2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2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2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2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2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2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2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2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2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2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2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2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19685039370078741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32" max="16383" man="1"/>
    <brk id="626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86" t="s">
        <v>0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  <c r="N1" s="586"/>
      <c r="O1" s="586"/>
      <c r="P1" s="586"/>
    </row>
    <row r="2" spans="1:16" ht="18" customHeight="1" x14ac:dyDescent="0.25">
      <c r="A2" s="586" t="s">
        <v>275</v>
      </c>
      <c r="B2" s="586"/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86"/>
      <c r="P2" s="586"/>
    </row>
    <row r="3" spans="1:16" ht="18" customHeight="1" x14ac:dyDescent="0.25">
      <c r="A3" s="586" t="s">
        <v>290</v>
      </c>
      <c r="B3" s="586"/>
      <c r="C3" s="586"/>
      <c r="D3" s="586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  <c r="P3" s="586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2" t="s">
        <v>2</v>
      </c>
      <c r="B5" s="593"/>
      <c r="C5" s="593"/>
      <c r="D5" s="593"/>
      <c r="E5" s="593"/>
      <c r="F5" s="593"/>
      <c r="G5" s="594"/>
      <c r="H5" s="587" t="s">
        <v>3</v>
      </c>
      <c r="I5" s="589" t="s">
        <v>4</v>
      </c>
      <c r="J5" s="580"/>
      <c r="K5" s="581"/>
      <c r="L5" s="590" t="s">
        <v>5</v>
      </c>
      <c r="M5" s="581"/>
      <c r="N5" s="591" t="s">
        <v>6</v>
      </c>
      <c r="O5" s="580"/>
      <c r="P5" s="581"/>
    </row>
    <row r="6" spans="1:16" ht="21.75" customHeight="1" x14ac:dyDescent="0.25">
      <c r="A6" s="595"/>
      <c r="B6" s="596"/>
      <c r="C6" s="596"/>
      <c r="D6" s="596"/>
      <c r="E6" s="596"/>
      <c r="F6" s="596"/>
      <c r="G6" s="597"/>
      <c r="H6" s="58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5" t="s">
        <v>15</v>
      </c>
      <c r="B7" s="580"/>
      <c r="C7" s="580"/>
      <c r="D7" s="580"/>
      <c r="E7" s="580"/>
      <c r="F7" s="580"/>
      <c r="G7" s="58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4" t="s">
        <v>17</v>
      </c>
      <c r="E8" s="573"/>
      <c r="F8" s="573"/>
      <c r="G8" s="573"/>
      <c r="H8" s="20" t="s">
        <v>12</v>
      </c>
      <c r="I8" s="21"/>
      <c r="J8" s="21"/>
      <c r="K8" s="22"/>
      <c r="L8" s="23">
        <f t="shared" ref="L8:N8" ca="1" si="0">L9+L10</f>
        <v>4912466.21</v>
      </c>
      <c r="M8" s="23">
        <f t="shared" ca="1" si="0"/>
        <v>3267689.21</v>
      </c>
      <c r="N8" s="23">
        <f t="shared" ca="1" si="0"/>
        <v>4061687.7199999997</v>
      </c>
      <c r="O8" s="22">
        <f t="shared" ref="O8:O16" ca="1" si="1">IF(L8&gt;0,N8*100/L8,0)</f>
        <v>82.681234768228563</v>
      </c>
      <c r="P8" s="22">
        <f t="shared" ref="P8:P16" ca="1" si="2">IF(M8&gt;0,N8*100/M8,0)</f>
        <v>124.29847084508995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4912466.21</v>
      </c>
      <c r="M10" s="30">
        <f t="shared" ca="1" si="4"/>
        <v>3267689.21</v>
      </c>
      <c r="N10" s="30">
        <f t="shared" ca="1" si="4"/>
        <v>4061687.7199999997</v>
      </c>
      <c r="O10" s="29">
        <f t="shared" ca="1" si="1"/>
        <v>82.681234768228563</v>
      </c>
      <c r="P10" s="29">
        <f t="shared" ca="1" si="2"/>
        <v>124.29847084508995</v>
      </c>
    </row>
    <row r="11" spans="1:16" ht="21.75" customHeight="1" x14ac:dyDescent="0.3">
      <c r="A11" s="31"/>
      <c r="B11" s="32"/>
      <c r="C11" s="33" t="s">
        <v>16</v>
      </c>
      <c r="D11" s="574" t="s">
        <v>20</v>
      </c>
      <c r="E11" s="575"/>
      <c r="F11" s="57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4570066.21</v>
      </c>
      <c r="M12" s="38">
        <f t="shared" ca="1" si="6"/>
        <v>3028289.21</v>
      </c>
      <c r="N12" s="38">
        <f t="shared" ca="1" si="6"/>
        <v>3727287.7199999997</v>
      </c>
      <c r="O12" s="38">
        <f t="shared" ca="1" si="1"/>
        <v>81.558724725784657</v>
      </c>
      <c r="P12" s="38">
        <f t="shared" ca="1" si="2"/>
        <v>123.08229041307452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1884039.21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2686027</v>
      </c>
      <c r="M14" s="38">
        <f t="shared" si="8"/>
        <v>0</v>
      </c>
      <c r="N14" s="38">
        <f t="shared" ca="1" si="8"/>
        <v>1140134.93</v>
      </c>
      <c r="O14" s="41">
        <f t="shared" ca="1" si="1"/>
        <v>42.44689014667388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4" t="s">
        <v>23</v>
      </c>
      <c r="E15" s="57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342400</v>
      </c>
      <c r="M16" s="38">
        <f t="shared" ca="1" si="10"/>
        <v>239400</v>
      </c>
      <c r="N16" s="38">
        <f t="shared" ca="1" si="10"/>
        <v>334400</v>
      </c>
      <c r="O16" s="50">
        <f t="shared" ca="1" si="1"/>
        <v>97.663551401869157</v>
      </c>
      <c r="P16" s="50">
        <f t="shared" ca="1" si="2"/>
        <v>139.68253968253967</v>
      </c>
    </row>
    <row r="17" spans="1:16" ht="21.75" customHeight="1" x14ac:dyDescent="0.3">
      <c r="A17" s="585" t="s">
        <v>24</v>
      </c>
      <c r="B17" s="580"/>
      <c r="C17" s="580"/>
      <c r="D17" s="580"/>
      <c r="E17" s="580"/>
      <c r="F17" s="580"/>
      <c r="G17" s="58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4" t="s">
        <v>17</v>
      </c>
      <c r="E18" s="573"/>
      <c r="F18" s="573"/>
      <c r="G18" s="573"/>
      <c r="H18" s="20" t="s">
        <v>12</v>
      </c>
      <c r="I18" s="21"/>
      <c r="J18" s="21"/>
      <c r="K18" s="22"/>
      <c r="L18" s="23">
        <f t="shared" ref="L18:N18" ca="1" si="11">L19+L20</f>
        <v>3273549.21</v>
      </c>
      <c r="M18" s="23">
        <f t="shared" ca="1" si="11"/>
        <v>3267689.21</v>
      </c>
      <c r="N18" s="23">
        <f t="shared" ca="1" si="11"/>
        <v>2818552.79</v>
      </c>
      <c r="O18" s="22">
        <f t="shared" ref="O18:O20" ca="1" si="12">IF(L18&gt;0,N18*100/L18,0)</f>
        <v>86.10082235482875</v>
      </c>
      <c r="P18" s="22">
        <f t="shared" ref="P18:P26" ca="1" si="13">IF(M18&gt;0,N18*100/M18,0)</f>
        <v>86.255228354473772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3273549.21</v>
      </c>
      <c r="M20" s="30">
        <f t="shared" ca="1" si="15"/>
        <v>3267689.21</v>
      </c>
      <c r="N20" s="30">
        <f t="shared" ca="1" si="15"/>
        <v>2818552.79</v>
      </c>
      <c r="O20" s="29">
        <f t="shared" ca="1" si="12"/>
        <v>86.10082235482875</v>
      </c>
      <c r="P20" s="29">
        <f t="shared" ca="1" si="13"/>
        <v>86.255228354473772</v>
      </c>
    </row>
    <row r="21" spans="1:16" ht="21.75" customHeight="1" x14ac:dyDescent="0.3">
      <c r="A21" s="31"/>
      <c r="B21" s="32"/>
      <c r="C21" s="33" t="s">
        <v>16</v>
      </c>
      <c r="D21" s="574" t="s">
        <v>20</v>
      </c>
      <c r="E21" s="575"/>
      <c r="F21" s="575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3034149.21</v>
      </c>
      <c r="M22" s="42">
        <f t="shared" ca="1" si="18"/>
        <v>3028289.21</v>
      </c>
      <c r="N22" s="41">
        <f t="shared" ca="1" si="18"/>
        <v>2587152.79</v>
      </c>
      <c r="O22" s="41">
        <f t="shared" ca="1" si="17"/>
        <v>85.267816805884777</v>
      </c>
      <c r="P22" s="41">
        <f t="shared" ca="1" si="13"/>
        <v>85.432817362909674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1884039.21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1150110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4" t="s">
        <v>23</v>
      </c>
      <c r="E25" s="575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239400</v>
      </c>
      <c r="M26" s="50">
        <f t="shared" ca="1" si="22"/>
        <v>239400</v>
      </c>
      <c r="N26" s="50">
        <f t="shared" ca="1" si="22"/>
        <v>231400</v>
      </c>
      <c r="O26" s="50">
        <f t="shared" ca="1" si="17"/>
        <v>96.65831244778613</v>
      </c>
      <c r="P26" s="50">
        <f t="shared" ca="1" si="13"/>
        <v>96.65831244778613</v>
      </c>
    </row>
    <row r="27" spans="1:16" ht="21.75" customHeight="1" x14ac:dyDescent="0.3">
      <c r="A27" s="585" t="s">
        <v>25</v>
      </c>
      <c r="B27" s="580"/>
      <c r="C27" s="580"/>
      <c r="D27" s="580"/>
      <c r="E27" s="580"/>
      <c r="F27" s="580"/>
      <c r="G27" s="58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4" t="s">
        <v>17</v>
      </c>
      <c r="E28" s="573"/>
      <c r="F28" s="573"/>
      <c r="G28" s="573"/>
      <c r="H28" s="20" t="s">
        <v>12</v>
      </c>
      <c r="I28" s="21"/>
      <c r="J28" s="21"/>
      <c r="K28" s="22"/>
      <c r="L28" s="23">
        <f t="shared" ref="L28:N28" ca="1" si="23">L29+L30</f>
        <v>1638917</v>
      </c>
      <c r="M28" s="23">
        <f t="shared" si="23"/>
        <v>0</v>
      </c>
      <c r="N28" s="23">
        <f t="shared" ca="1" si="23"/>
        <v>1243134.93</v>
      </c>
      <c r="O28" s="22">
        <f t="shared" ref="O28:O30" ca="1" si="24">IF(L28&gt;0,N28*100/L28,0)</f>
        <v>75.850999776071632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1638917</v>
      </c>
      <c r="M30" s="30">
        <f t="shared" si="27"/>
        <v>0</v>
      </c>
      <c r="N30" s="30">
        <f t="shared" ca="1" si="27"/>
        <v>1243134.93</v>
      </c>
      <c r="O30" s="29">
        <f t="shared" ca="1" si="24"/>
        <v>75.850999776071632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4" t="s">
        <v>20</v>
      </c>
      <c r="E31" s="575"/>
      <c r="F31" s="575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ca="1">L352+L383+L404+L437+L457+L535+L553+L566+L582+L599-103000</f>
        <v>1535917</v>
      </c>
      <c r="M32" s="41">
        <f>M352+M383+M404+M437+M457+M535+M553+M566+M582+M599</f>
        <v>0</v>
      </c>
      <c r="N32" s="41">
        <f ca="1">N352+N383+N404+N437+N457+N535+N553+N566+N582+N599-103000</f>
        <v>1140134.93</v>
      </c>
      <c r="O32" s="41">
        <f t="shared" ca="1" si="29"/>
        <v>74.231545715035381</v>
      </c>
      <c r="P32" s="41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0">L353+L384+L405+L438+L458+L536+L554+L567+L583+L600</f>
        <v>0</v>
      </c>
      <c r="M33" s="41">
        <f t="shared" si="30"/>
        <v>0</v>
      </c>
      <c r="N33" s="41">
        <f t="shared" ca="1" si="30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1">L354+L385+L406+L439+L459+L537+L555+L568+L584+L601</f>
        <v>1535917</v>
      </c>
      <c r="M34" s="41">
        <f t="shared" si="31"/>
        <v>0</v>
      </c>
      <c r="N34" s="41">
        <f t="shared" ca="1" si="31"/>
        <v>1140134.93</v>
      </c>
      <c r="O34" s="41">
        <f t="shared" ca="1" si="29"/>
        <v>74.231545715035381</v>
      </c>
      <c r="P34" s="41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4" t="s">
        <v>23</v>
      </c>
      <c r="E35" s="575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103000</v>
      </c>
      <c r="M36" s="52">
        <v>0</v>
      </c>
      <c r="N36" s="52">
        <v>103000</v>
      </c>
      <c r="O36" s="50">
        <f t="shared" si="29"/>
        <v>100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2">L41+L53+L66+L94+L118+L140+L220+L250+L271+L290+L310+L329</f>
        <v>3273549.21</v>
      </c>
      <c r="M37" s="55">
        <f t="shared" ca="1" si="32"/>
        <v>3267689.21</v>
      </c>
      <c r="N37" s="55">
        <f t="shared" ca="1" si="32"/>
        <v>2818552.79</v>
      </c>
      <c r="O37" s="56">
        <f t="shared" ca="1" si="29"/>
        <v>86.10082235482875</v>
      </c>
      <c r="P37" s="56">
        <f t="shared" ca="1" si="25"/>
        <v>86.255228354473772</v>
      </c>
    </row>
    <row r="38" spans="1:16" ht="21.75" customHeight="1" x14ac:dyDescent="0.3">
      <c r="A38" s="579" t="s">
        <v>27</v>
      </c>
      <c r="B38" s="580"/>
      <c r="C38" s="580"/>
      <c r="D38" s="580"/>
      <c r="E38" s="580"/>
      <c r="F38" s="580"/>
      <c r="G38" s="581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82" t="s">
        <v>28</v>
      </c>
      <c r="C39" s="573"/>
      <c r="D39" s="573"/>
      <c r="E39" s="573"/>
      <c r="F39" s="573"/>
      <c r="G39" s="573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83" t="s">
        <v>17</v>
      </c>
      <c r="E41" s="575"/>
      <c r="F41" s="575"/>
      <c r="G41" s="575"/>
      <c r="H41" s="76" t="s">
        <v>12</v>
      </c>
      <c r="I41" s="77"/>
      <c r="J41" s="77"/>
      <c r="K41" s="78"/>
      <c r="L41" s="79">
        <f t="shared" ref="L41:N41" ca="1" si="33">L42+L43</f>
        <v>631100</v>
      </c>
      <c r="M41" s="79">
        <f t="shared" ca="1" si="33"/>
        <v>631100</v>
      </c>
      <c r="N41" s="79">
        <f t="shared" ca="1" si="33"/>
        <v>567109.68000000005</v>
      </c>
      <c r="O41" s="78">
        <f t="shared" ref="O41:O43" ca="1" si="34">IF(L41&gt;0,N41*100/L41,0)</f>
        <v>89.860510220250362</v>
      </c>
      <c r="P41" s="78">
        <f t="shared" ref="P41:P43" ca="1" si="35">IF(M41&gt;0,N41*100/M41,0)</f>
        <v>89.860510220250362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6">L44+L48</f>
        <v>0</v>
      </c>
      <c r="M42" s="79">
        <f t="shared" si="36"/>
        <v>0</v>
      </c>
      <c r="N42" s="79">
        <f t="shared" si="36"/>
        <v>0</v>
      </c>
      <c r="O42" s="78">
        <f t="shared" si="34"/>
        <v>0</v>
      </c>
      <c r="P42" s="78">
        <f t="shared" si="35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7">L45+L49</f>
        <v>631100</v>
      </c>
      <c r="M43" s="79">
        <f t="shared" ca="1" si="37"/>
        <v>631100</v>
      </c>
      <c r="N43" s="79">
        <f t="shared" ca="1" si="37"/>
        <v>567109.68000000005</v>
      </c>
      <c r="O43" s="78">
        <f t="shared" ca="1" si="34"/>
        <v>89.860510220250362</v>
      </c>
      <c r="P43" s="78">
        <f t="shared" ca="1" si="35"/>
        <v>89.860510220250362</v>
      </c>
    </row>
    <row r="44" spans="1:16" ht="21.75" customHeight="1" x14ac:dyDescent="0.3">
      <c r="A44" s="80"/>
      <c r="B44" s="81"/>
      <c r="C44" s="82" t="s">
        <v>16</v>
      </c>
      <c r="D44" s="576" t="s">
        <v>20</v>
      </c>
      <c r="E44" s="575"/>
      <c r="F44" s="575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631100</v>
      </c>
      <c r="M45" s="91">
        <f ca="1">IFERROR(__xludf.DUMMYFUNCTION("IMPORTRANGE(""https://docs.google.com/spreadsheets/d/1Yj_ptqi66GCucihVvJfMjLAmec39IyEx_6qawtMGysU/edit?usp=sharing"",""สบก!Q88"")"),631100)</f>
        <v>631100</v>
      </c>
      <c r="N45" s="91">
        <f ca="1">IFERROR(__xludf.DUMMYFUNCTION("IMPORTRANGE(""https://docs.google.com/spreadsheets/d/1Yj_ptqi66GCucihVvJfMjLAmec39IyEx_6qawtMGysU/edit?usp=sharing"",""สบก!R88"")"),567109.68)</f>
        <v>567109.68000000005</v>
      </c>
      <c r="O45" s="92">
        <f ca="1">IF(L45&gt;0,N45*100/L45,0)</f>
        <v>89.860510220250362</v>
      </c>
      <c r="P45" s="92">
        <f ca="1">IF(M45&gt;0,N45*100/M45,0)</f>
        <v>89.860510220250362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IFERROR(__xludf.DUMMYFUNCTION("IMPORTRANGE(""https://docs.google.com/spreadsheets/d/1Yj_ptqi66GCucihVvJfMjLAmec39IyEx_6qawtMGysU/edit?usp=sharing"",""สบก!M88"")"),631100)</f>
        <v>631100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IFERROR(__xludf.DUMMYFUNCTION("IMPORTRANGE(""https://docs.google.com/spreadsheets/d/1Yj_ptqi66GCucihVvJfMjLAmec39IyEx_6qawtMGysU/edit?usp=sharing"",""สบก!N88"")"),0)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6" t="s">
        <v>23</v>
      </c>
      <c r="E48" s="57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IFERROR(__xludf.DUMMYFUNCTION("IMPORTRANGE(""https://docs.google.com/spreadsheets/d/1Yj_ptqi66GCucihVvJfMjLAmec39IyEx_6qawtMGysU/edit?usp=sharing"",""สบก!O88"")"),0)</f>
        <v>0</v>
      </c>
      <c r="M49" s="101"/>
      <c r="N49" s="91">
        <f ca="1">IFERROR(__xludf.DUMMYFUNCTION("IMPORTRANGE(""https://docs.google.com/spreadsheets/d/1Yj_ptqi66GCucihVvJfMjLAmec39IyEx_6qawtMGysU/edit?usp=sharing"",""สบก!S88"")"),0)</f>
        <v>0</v>
      </c>
      <c r="O49" s="101">
        <f ca="1">IF(L49&gt;0,N49*100/L49,0)</f>
        <v>0</v>
      </c>
      <c r="P49" s="101"/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577" t="s">
        <v>32</v>
      </c>
      <c r="C52" s="575"/>
      <c r="D52" s="575"/>
      <c r="E52" s="575"/>
      <c r="F52" s="575"/>
      <c r="G52" s="575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578" t="s">
        <v>17</v>
      </c>
      <c r="E53" s="575"/>
      <c r="F53" s="575"/>
      <c r="G53" s="575"/>
      <c r="H53" s="122" t="s">
        <v>12</v>
      </c>
      <c r="I53" s="123"/>
      <c r="J53" s="123"/>
      <c r="K53" s="124"/>
      <c r="L53" s="125">
        <f t="shared" ref="L53:N53" ca="1" si="38">L54+L55</f>
        <v>626739.21</v>
      </c>
      <c r="M53" s="125">
        <f t="shared" ca="1" si="38"/>
        <v>626739.21</v>
      </c>
      <c r="N53" s="125">
        <f t="shared" ca="1" si="38"/>
        <v>545539.21</v>
      </c>
      <c r="O53" s="124">
        <f t="shared" ref="O53:O55" ca="1" si="39">IF(L53&gt;0,N53*100/L53,0)</f>
        <v>87.044052980186137</v>
      </c>
      <c r="P53" s="124">
        <f t="shared" ref="P53:P55" ca="1" si="40">IF(M53&gt;0,N53*100/M53,0)</f>
        <v>87.044052980186137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1">L56+L60</f>
        <v>0</v>
      </c>
      <c r="M54" s="125">
        <f t="shared" si="41"/>
        <v>0</v>
      </c>
      <c r="N54" s="125">
        <f t="shared" si="41"/>
        <v>0</v>
      </c>
      <c r="O54" s="124">
        <f t="shared" si="39"/>
        <v>0</v>
      </c>
      <c r="P54" s="124">
        <f t="shared" si="40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2">L57+L61</f>
        <v>626739.21</v>
      </c>
      <c r="M55" s="125">
        <f t="shared" ca="1" si="42"/>
        <v>626739.21</v>
      </c>
      <c r="N55" s="125">
        <f t="shared" ca="1" si="42"/>
        <v>545539.21</v>
      </c>
      <c r="O55" s="124">
        <f t="shared" ca="1" si="39"/>
        <v>87.044052980186137</v>
      </c>
      <c r="P55" s="124">
        <f t="shared" ca="1" si="40"/>
        <v>87.044052980186137</v>
      </c>
    </row>
    <row r="56" spans="1:16" ht="21.75" customHeight="1" x14ac:dyDescent="0.3">
      <c r="A56" s="80"/>
      <c r="B56" s="81"/>
      <c r="C56" s="82" t="s">
        <v>16</v>
      </c>
      <c r="D56" s="576" t="s">
        <v>20</v>
      </c>
      <c r="E56" s="575"/>
      <c r="F56" s="575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626739.21</v>
      </c>
      <c r="M57" s="91">
        <f ca="1">IFERROR(__xludf.DUMMYFUNCTION("IMPORTRANGE(""https://docs.google.com/spreadsheets/d/1Yj_ptqi66GCucihVvJfMjLAmec39IyEx_6qawtMGysU/edit?usp=sharing"",""สบก!Z88"")"),626739.21)</f>
        <v>626739.21</v>
      </c>
      <c r="N57" s="91">
        <f ca="1">IFERROR(__xludf.DUMMYFUNCTION("IMPORTRANGE(""https://docs.google.com/spreadsheets/d/1Yj_ptqi66GCucihVvJfMjLAmec39IyEx_6qawtMGysU/edit?usp=sharing"",""สบก!AA88"")"),545539.21)</f>
        <v>545539.21</v>
      </c>
      <c r="O57" s="92">
        <f ca="1">IF(L57&gt;0,N57*100/L57,0)</f>
        <v>87.044052980186137</v>
      </c>
      <c r="P57" s="92">
        <f ca="1">IF(M57&gt;0,N57*100/M57,0)</f>
        <v>87.044052980186137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IFERROR(__xludf.DUMMYFUNCTION("IMPORTRANGE(""https://docs.google.com/spreadsheets/d/1Yj_ptqi66GCucihVvJfMjLAmec39IyEx_6qawtMGysU/edit?usp=sharing"",""สบก!V88"")"),626739.21)</f>
        <v>626739.21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IFERROR(__xludf.DUMMYFUNCTION("IMPORTRANGE(""https://docs.google.com/spreadsheets/d/1Yj_ptqi66GCucihVvJfMjLAmec39IyEx_6qawtMGysU/edit?usp=sharing"",""สบก!W88"")"),0)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6" t="s">
        <v>23</v>
      </c>
      <c r="E60" s="57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IFERROR(__xludf.DUMMYFUNCTION("IMPORTRANGE(""https://docs.google.com/spreadsheets/d/1Yj_ptqi66GCucihVvJfMjLAmec39IyEx_6qawtMGysU/edit?usp=sharing"",""สบก!X88"")"),0)</f>
        <v>0</v>
      </c>
      <c r="M61" s="101"/>
      <c r="N61" s="91">
        <f ca="1">IFERROR(__xludf.DUMMYFUNCTION("IMPORTRANGE(""https://docs.google.com/spreadsheets/d/1Yj_ptqi66GCucihVvJfMjLAmec39IyEx_6qawtMGysU/edit?usp=sharing"",""สบก!AB88"")"),0)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IFERROR(__xludf.DUMMYFUNCTION("IMPORTRANGE(""https://docs.google.com/spreadsheets/d/1IYY_tgx_IHuhSq3AJ5eI5OnqOPBNLWSHKh2a30DoXe8/edit?usp=sharing"",""พัทลุง!I9"")"),1)</f>
        <v>1</v>
      </c>
      <c r="J64" s="146">
        <f ca="1">IFERROR(__xludf.DUMMYFUNCTION("IMPORTRANGE(""https://docs.google.com/spreadsheets/d/1IYY_tgx_IHuhSq3AJ5eI5OnqOPBNLWSHKh2a30DoXe8/edit?usp=sharing"",""พัทลุง!J9"")"),1)</f>
        <v>1</v>
      </c>
      <c r="K64" s="147">
        <f t="shared" ref="K64:K65" ca="1" si="43">IF(I64&gt;0,J64*100/I64,0)</f>
        <v>100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IFERROR(__xludf.DUMMYFUNCTION("IMPORTRANGE(""https://docs.google.com/spreadsheets/d/1IYY_tgx_IHuhSq3AJ5eI5OnqOPBNLWSHKh2a30DoXe8/edit?usp=sharing"",""พัทลุง!I10"")"),30)</f>
        <v>30</v>
      </c>
      <c r="J65" s="146">
        <f ca="1">IFERROR(__xludf.DUMMYFUNCTION("IMPORTRANGE(""https://docs.google.com/spreadsheets/d/1IYY_tgx_IHuhSq3AJ5eI5OnqOPBNLWSHKh2a30DoXe8/edit?usp=sharing"",""พัทลุง!J10"")"),30)</f>
        <v>30</v>
      </c>
      <c r="K65" s="147">
        <f t="shared" ca="1" si="43"/>
        <v>100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2" t="s">
        <v>17</v>
      </c>
      <c r="E66" s="573"/>
      <c r="F66" s="573"/>
      <c r="G66" s="573"/>
      <c r="H66" s="153" t="s">
        <v>12</v>
      </c>
      <c r="I66" s="154"/>
      <c r="J66" s="154"/>
      <c r="K66" s="155"/>
      <c r="L66" s="156">
        <f t="shared" ref="L66:N66" ca="1" si="44">L67+L68</f>
        <v>727420</v>
      </c>
      <c r="M66" s="156">
        <f t="shared" ca="1" si="44"/>
        <v>727420</v>
      </c>
      <c r="N66" s="156">
        <f t="shared" ca="1" si="44"/>
        <v>562084.31999999995</v>
      </c>
      <c r="O66" s="155">
        <f t="shared" ref="O66:O68" ca="1" si="45">IF(L66&gt;0,N66*100/L66,0)</f>
        <v>77.27094663330675</v>
      </c>
      <c r="P66" s="155">
        <f t="shared" ref="P66:P68" ca="1" si="46">IF(M66&gt;0,N66*100/M66,0)</f>
        <v>77.27094663330675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7">L69+L73</f>
        <v>0</v>
      </c>
      <c r="M67" s="161">
        <f t="shared" si="47"/>
        <v>0</v>
      </c>
      <c r="N67" s="161">
        <f t="shared" si="47"/>
        <v>0</v>
      </c>
      <c r="O67" s="160">
        <f t="shared" si="45"/>
        <v>0</v>
      </c>
      <c r="P67" s="160">
        <f t="shared" si="46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8">L70+L74</f>
        <v>727420</v>
      </c>
      <c r="M68" s="161">
        <f t="shared" ca="1" si="48"/>
        <v>727420</v>
      </c>
      <c r="N68" s="161">
        <f t="shared" ca="1" si="48"/>
        <v>562084.31999999995</v>
      </c>
      <c r="O68" s="160">
        <f t="shared" ca="1" si="45"/>
        <v>77.27094663330675</v>
      </c>
      <c r="P68" s="160">
        <f t="shared" ca="1" si="46"/>
        <v>77.27094663330675</v>
      </c>
    </row>
    <row r="69" spans="1:16" ht="21.75" customHeight="1" x14ac:dyDescent="0.3">
      <c r="A69" s="162"/>
      <c r="B69" s="163"/>
      <c r="C69" s="163" t="s">
        <v>16</v>
      </c>
      <c r="D69" s="574" t="s">
        <v>20</v>
      </c>
      <c r="E69" s="575"/>
      <c r="F69" s="575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727420</v>
      </c>
      <c r="M70" s="173">
        <f ca="1">IFERROR(__xludf.DUMMYFUNCTION("IMPORTRANGE(""https://docs.google.com/spreadsheets/d/1Yj_ptqi66GCucihVvJfMjLAmec39IyEx_6qawtMGysU/edit?usp=sharing"",""สบก!AI88"")"),727420)</f>
        <v>727420</v>
      </c>
      <c r="N70" s="174">
        <f ca="1">IFERROR(__xludf.DUMMYFUNCTION("IMPORTRANGE(""https://docs.google.com/spreadsheets/d/1Yj_ptqi66GCucihVvJfMjLAmec39IyEx_6qawtMGysU/edit?usp=sharing"",""สบก!AJ88"")"),562084.32)</f>
        <v>562084.31999999995</v>
      </c>
      <c r="O70" s="175">
        <f ca="1">IF(L70&gt;0,N70*100/L70,0)</f>
        <v>77.27094663330675</v>
      </c>
      <c r="P70" s="175">
        <f ca="1">IF(M70&gt;0,N70*100/M70,0)</f>
        <v>77.27094663330675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IFERROR(__xludf.DUMMYFUNCTION("IMPORTRANGE(""https://docs.google.com/spreadsheets/d/1Yj_ptqi66GCucihVvJfMjLAmec39IyEx_6qawtMGysU/edit?usp=sharing"",""สบก!AE88"")"),188200)</f>
        <v>188200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IFERROR(__xludf.DUMMYFUNCTION("IMPORTRANGE(""https://docs.google.com/spreadsheets/d/1Yj_ptqi66GCucihVvJfMjLAmec39IyEx_6qawtMGysU/edit?usp=sharing"",""สบก!AF88"")"),539220)</f>
        <v>539220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6" t="s">
        <v>23</v>
      </c>
      <c r="E73" s="575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IFERROR(__xludf.DUMMYFUNCTION("IMPORTRANGE(""https://docs.google.com/spreadsheets/d/1Yj_ptqi66GCucihVvJfMjLAmec39IyEx_6qawtMGysU/edit?usp=sharing"",""สบก!AG88"")"),0)</f>
        <v>0</v>
      </c>
      <c r="M74" s="101"/>
      <c r="N74" s="91">
        <f ca="1">IFERROR(__xludf.DUMMYFUNCTION("IMPORTRANGE(""https://docs.google.com/spreadsheets/d/1Yj_ptqi66GCucihVvJfMjLAmec39IyEx_6qawtMGysU/edit?usp=sharing"",""สบก!AK88"")"),0)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IFERROR(__xludf.DUMMYFUNCTION("IMPORTRANGE(""https://docs.google.com/spreadsheets/d/1IYY_tgx_IHuhSq3AJ5eI5OnqOPBNLWSHKh2a30DoXe8/edit?usp=sharing"",""พัทลุง!J16"")"),0)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IFERROR(__xludf.DUMMYFUNCTION("IMPORTRANGE(""https://docs.google.com/spreadsheets/d/1IYY_tgx_IHuhSq3AJ5eI5OnqOPBNLWSHKh2a30DoXe8/edit?usp=sharing"",""พัทลุง!J17"")"),1)</f>
        <v>1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IFERROR(__xludf.DUMMYFUNCTION("IMPORTRANGE(""https://docs.google.com/spreadsheets/d/1IYY_tgx_IHuhSq3AJ5eI5OnqOPBNLWSHKh2a30DoXe8/edit?usp=sharing"",""พัทลุง!J18"")"),1)</f>
        <v>1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IFERROR(__xludf.DUMMYFUNCTION("IMPORTRANGE(""https://docs.google.com/spreadsheets/d/1IYY_tgx_IHuhSq3AJ5eI5OnqOPBNLWSHKh2a30DoXe8/edit?usp=sharing"",""พัทลุง!J19"")"),1)</f>
        <v>1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IFERROR(__xludf.DUMMYFUNCTION("IMPORTRANGE(""https://docs.google.com/spreadsheets/d/1IYY_tgx_IHuhSq3AJ5eI5OnqOPBNLWSHKh2a30DoXe8/edit?usp=sharing"",""พัทลุง!I20"")"),1)</f>
        <v>1</v>
      </c>
      <c r="J80" s="207">
        <f ca="1">IFERROR(__xludf.DUMMYFUNCTION("IMPORTRANGE(""https://docs.google.com/spreadsheets/d/1IYY_tgx_IHuhSq3AJ5eI5OnqOPBNLWSHKh2a30DoXe8/edit?usp=sharing"",""พัทลุง!J20"")"),1)</f>
        <v>1</v>
      </c>
      <c r="K80" s="208">
        <f t="shared" ref="K80:K88" ca="1" si="49">IF(I80&gt;0,J80*100/I80,0)</f>
        <v>100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IFERROR(__xludf.DUMMYFUNCTION("IMPORTRANGE(""https://docs.google.com/spreadsheets/d/1IYY_tgx_IHuhSq3AJ5eI5OnqOPBNLWSHKh2a30DoXe8/edit?usp=sharing"",""พัทลุง!I21"")"),30)</f>
        <v>30</v>
      </c>
      <c r="J81" s="207">
        <f ca="1">IFERROR(__xludf.DUMMYFUNCTION("IMPORTRANGE(""https://docs.google.com/spreadsheets/d/1IYY_tgx_IHuhSq3AJ5eI5OnqOPBNLWSHKh2a30DoXe8/edit?usp=sharing"",""พัทลุง!J21"")"),30)</f>
        <v>30</v>
      </c>
      <c r="K81" s="208">
        <f t="shared" ca="1" si="49"/>
        <v>100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IFERROR(__xludf.DUMMYFUNCTION("IMPORTRANGE(""https://docs.google.com/spreadsheets/d/1IYY_tgx_IHuhSq3AJ5eI5OnqOPBNLWSHKh2a30DoXe8/edit?usp=sharing"",""พัทลุง!I22"")"),1)</f>
        <v>1</v>
      </c>
      <c r="J82" s="210">
        <f ca="1">IFERROR(__xludf.DUMMYFUNCTION("IMPORTRANGE(""https://docs.google.com/spreadsheets/d/1IYY_tgx_IHuhSq3AJ5eI5OnqOPBNLWSHKh2a30DoXe8/edit?usp=sharing"",""พัทลุง!J22"")"),1)</f>
        <v>1</v>
      </c>
      <c r="K82" s="167">
        <f t="shared" ca="1" si="49"/>
        <v>100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IFERROR(__xludf.DUMMYFUNCTION("IMPORTRANGE(""https://docs.google.com/spreadsheets/d/1IYY_tgx_IHuhSq3AJ5eI5OnqOPBNLWSHKh2a30DoXe8/edit?usp=sharing"",""พัทลุง!I23"")"),30)</f>
        <v>30</v>
      </c>
      <c r="J83" s="210">
        <f ca="1">IFERROR(__xludf.DUMMYFUNCTION("IMPORTRANGE(""https://docs.google.com/spreadsheets/d/1IYY_tgx_IHuhSq3AJ5eI5OnqOPBNLWSHKh2a30DoXe8/edit?usp=sharing"",""พัทลุง!J23"")"),30)</f>
        <v>30</v>
      </c>
      <c r="K83" s="167">
        <f t="shared" ca="1" si="49"/>
        <v>100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IFERROR(__xludf.DUMMYFUNCTION("IMPORTRANGE(""https://docs.google.com/spreadsheets/d/1IYY_tgx_IHuhSq3AJ5eI5OnqOPBNLWSHKh2a30DoXe8/edit?usp=sharing"",""พัทลุง!I24"")"),0)</f>
        <v>0</v>
      </c>
      <c r="J84" s="195">
        <f ca="1">IFERROR(__xludf.DUMMYFUNCTION("IMPORTRANGE(""https://docs.google.com/spreadsheets/d/1IYY_tgx_IHuhSq3AJ5eI5OnqOPBNLWSHKh2a30DoXe8/edit?usp=sharing"",""พัทลุง!J24"")"),0)</f>
        <v>0</v>
      </c>
      <c r="K84" s="167">
        <f t="shared" ca="1" si="49"/>
        <v>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IFERROR(__xludf.DUMMYFUNCTION("IMPORTRANGE(""https://docs.google.com/spreadsheets/d/1IYY_tgx_IHuhSq3AJ5eI5OnqOPBNLWSHKh2a30DoXe8/edit?usp=sharing"",""พัทลุง!I25"")"),0)</f>
        <v>0</v>
      </c>
      <c r="J85" s="195">
        <f ca="1">IFERROR(__xludf.DUMMYFUNCTION("IMPORTRANGE(""https://docs.google.com/spreadsheets/d/1IYY_tgx_IHuhSq3AJ5eI5OnqOPBNLWSHKh2a30DoXe8/edit?usp=sharing"",""พัทลุง!J25"")"),0)</f>
        <v>0</v>
      </c>
      <c r="K85" s="167">
        <f t="shared" ca="1" si="49"/>
        <v>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IFERROR(__xludf.DUMMYFUNCTION("IMPORTRANGE(""https://docs.google.com/spreadsheets/d/1IYY_tgx_IHuhSq3AJ5eI5OnqOPBNLWSHKh2a30DoXe8/edit?usp=sharing"",""พัทลุง!I26"")"),0)</f>
        <v>0</v>
      </c>
      <c r="J86" s="210">
        <f ca="1">IFERROR(__xludf.DUMMYFUNCTION("IMPORTRANGE(""https://docs.google.com/spreadsheets/d/1IYY_tgx_IHuhSq3AJ5eI5OnqOPBNLWSHKh2a30DoXe8/edit?usp=sharing"",""พัทลุง!J26"")"),0)</f>
        <v>0</v>
      </c>
      <c r="K86" s="167">
        <f t="shared" ca="1" si="49"/>
        <v>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IFERROR(__xludf.DUMMYFUNCTION("IMPORTRANGE(""https://docs.google.com/spreadsheets/d/1IYY_tgx_IHuhSq3AJ5eI5OnqOPBNLWSHKh2a30DoXe8/edit?usp=sharing"",""พัทลุง!I27"")"),0)</f>
        <v>0</v>
      </c>
      <c r="J87" s="210">
        <f ca="1">IFERROR(__xludf.DUMMYFUNCTION("IMPORTRANGE(""https://docs.google.com/spreadsheets/d/1IYY_tgx_IHuhSq3AJ5eI5OnqOPBNLWSHKh2a30DoXe8/edit?usp=sharing"",""พัทลุง!J27"")"),0)</f>
        <v>0</v>
      </c>
      <c r="K87" s="167">
        <f t="shared" ca="1" si="49"/>
        <v>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IFERROR(__xludf.DUMMYFUNCTION("IMPORTRANGE(""https://docs.google.com/spreadsheets/d/1IYY_tgx_IHuhSq3AJ5eI5OnqOPBNLWSHKh2a30DoXe8/edit?usp=sharing"",""พัทลุง!I28"")"),1)</f>
        <v>1</v>
      </c>
      <c r="J88" s="210">
        <f ca="1">IFERROR(__xludf.DUMMYFUNCTION("IMPORTRANGE(""https://docs.google.com/spreadsheets/d/1IYY_tgx_IHuhSq3AJ5eI5OnqOPBNLWSHKh2a30DoXe8/edit?usp=sharing"",""พัทลุง!J28"")"),1)</f>
        <v>1</v>
      </c>
      <c r="K88" s="167">
        <f t="shared" ca="1" si="49"/>
        <v>100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IFERROR(__xludf.DUMMYFUNCTION("IMPORTRANGE(""https://docs.google.com/spreadsheets/d/1IYY_tgx_IHuhSq3AJ5eI5OnqOPBNLWSHKh2a30DoXe8/edit?usp=sharing"",""พัทลุง!J29"")"),0)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IFERROR(__xludf.DUMMYFUNCTION("IMPORTRANGE(""https://docs.google.com/spreadsheets/d/1IYY_tgx_IHuhSq3AJ5eI5OnqOPBNLWSHKh2a30DoXe8/edit?usp=sharing"",""พัทลุง!J30"")"),0)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IFERROR(__xludf.DUMMYFUNCTION("IMPORTRANGE(""https://docs.google.com/spreadsheets/d/1IYY_tgx_IHuhSq3AJ5eI5OnqOPBNLWSHKh2a30DoXe8/edit?usp=sharing"",""พัทลุง!I32"")"),4)</f>
        <v>4</v>
      </c>
      <c r="J92" s="146">
        <f ca="1">IFERROR(__xludf.DUMMYFUNCTION("IMPORTRANGE(""https://docs.google.com/spreadsheets/d/1IYY_tgx_IHuhSq3AJ5eI5OnqOPBNLWSHKh2a30DoXe8/edit?usp=sharing"",""พัทลุง!J32"")"),4)</f>
        <v>4</v>
      </c>
      <c r="K92" s="147">
        <f t="shared" ref="K92:K93" ca="1" si="50">IF(I92&gt;0,J92*100/I92,0)</f>
        <v>100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IFERROR(__xludf.DUMMYFUNCTION("IMPORTRANGE(""https://docs.google.com/spreadsheets/d/1IYY_tgx_IHuhSq3AJ5eI5OnqOPBNLWSHKh2a30DoXe8/edit?usp=sharing"",""พัทลุง!I33"")"),1)</f>
        <v>1</v>
      </c>
      <c r="J93" s="146">
        <f ca="1">IFERROR(__xludf.DUMMYFUNCTION("IMPORTRANGE(""https://docs.google.com/spreadsheets/d/1IYY_tgx_IHuhSq3AJ5eI5OnqOPBNLWSHKh2a30DoXe8/edit?usp=sharing"",""พัทลุง!J33"")"),1)</f>
        <v>1</v>
      </c>
      <c r="K93" s="147">
        <f t="shared" ca="1" si="50"/>
        <v>100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2" t="s">
        <v>17</v>
      </c>
      <c r="E94" s="573"/>
      <c r="F94" s="573"/>
      <c r="G94" s="573"/>
      <c r="H94" s="153" t="s">
        <v>12</v>
      </c>
      <c r="I94" s="166"/>
      <c r="J94" s="166"/>
      <c r="K94" s="167"/>
      <c r="L94" s="156">
        <f t="shared" ref="L94:N94" ca="1" si="51">L95+L96</f>
        <v>214500</v>
      </c>
      <c r="M94" s="156">
        <f t="shared" ca="1" si="51"/>
        <v>169500</v>
      </c>
      <c r="N94" s="156">
        <f t="shared" ca="1" si="51"/>
        <v>144696</v>
      </c>
      <c r="O94" s="155">
        <f t="shared" ref="O94:O96" ca="1" si="52">IF(L94&gt;0,N94*100/L94,0)</f>
        <v>67.457342657342664</v>
      </c>
      <c r="P94" s="155">
        <f t="shared" ref="P94:P96" ca="1" si="53">IF(M94&gt;0,N94*100/M94,0)</f>
        <v>85.366371681415927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4">L97+L101</f>
        <v>0</v>
      </c>
      <c r="M95" s="161">
        <f t="shared" si="54"/>
        <v>0</v>
      </c>
      <c r="N95" s="161">
        <f t="shared" si="54"/>
        <v>0</v>
      </c>
      <c r="O95" s="160">
        <f t="shared" si="52"/>
        <v>0</v>
      </c>
      <c r="P95" s="160">
        <f t="shared" si="53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5">L98+L102</f>
        <v>214500</v>
      </c>
      <c r="M96" s="161">
        <f t="shared" ca="1" si="55"/>
        <v>169500</v>
      </c>
      <c r="N96" s="161">
        <f t="shared" ca="1" si="55"/>
        <v>144696</v>
      </c>
      <c r="O96" s="160">
        <f t="shared" ca="1" si="52"/>
        <v>67.457342657342664</v>
      </c>
      <c r="P96" s="160">
        <f t="shared" ca="1" si="53"/>
        <v>85.366371681415927</v>
      </c>
    </row>
    <row r="97" spans="1:16" ht="21.75" customHeight="1" x14ac:dyDescent="0.3">
      <c r="A97" s="162"/>
      <c r="B97" s="163"/>
      <c r="C97" s="163" t="s">
        <v>16</v>
      </c>
      <c r="D97" s="574" t="s">
        <v>20</v>
      </c>
      <c r="E97" s="575"/>
      <c r="F97" s="575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122100</v>
      </c>
      <c r="M98" s="173">
        <f ca="1">IFERROR(__xludf.DUMMYFUNCTION("IMPORTRANGE(""https://docs.google.com/spreadsheets/d/1Yj_ptqi66GCucihVvJfMjLAmec39IyEx_6qawtMGysU/edit?usp=sharing"",""สบก!AR88"")"),77100)</f>
        <v>77100</v>
      </c>
      <c r="N98" s="174">
        <f ca="1">IFERROR(__xludf.DUMMYFUNCTION("IMPORTRANGE(""https://docs.google.com/spreadsheets/d/1Yj_ptqi66GCucihVvJfMjLAmec39IyEx_6qawtMGysU/edit?usp=sharing"",""สบก!AS88"")"),52296)</f>
        <v>52296</v>
      </c>
      <c r="O98" s="175">
        <f ca="1">IF(L98&gt;0,N98*100/L98,0)</f>
        <v>42.830466830466833</v>
      </c>
      <c r="P98" s="175">
        <f ca="1">IF(M98&gt;0,N98*100/M98,0)</f>
        <v>67.828793774319067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IFERROR(__xludf.DUMMYFUNCTION("IMPORTRANGE(""https://docs.google.com/spreadsheets/d/1Yj_ptqi66GCucihVvJfMjLAmec39IyEx_6qawtMGysU/edit?usp=sharing"",""สบก!AN88"")"),0)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IFERROR(__xludf.DUMMYFUNCTION("IMPORTRANGE(""https://docs.google.com/spreadsheets/d/1Yj_ptqi66GCucihVvJfMjLAmec39IyEx_6qawtMGysU/edit?usp=sharing"",""สบก!AO88"")"),122100)</f>
        <v>122100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6" t="s">
        <v>23</v>
      </c>
      <c r="E101" s="575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IFERROR(__xludf.DUMMYFUNCTION("IMPORTRANGE(""https://docs.google.com/spreadsheets/d/1Yj_ptqi66GCucihVvJfMjLAmec39IyEx_6qawtMGysU/edit?usp=sharing"",""สบก!AP88"")"),92400)</f>
        <v>92400</v>
      </c>
      <c r="M102" s="101">
        <f ca="1">L102</f>
        <v>92400</v>
      </c>
      <c r="N102" s="91">
        <f ca="1">IFERROR(__xludf.DUMMYFUNCTION("IMPORTRANGE(""https://docs.google.com/spreadsheets/d/1Yj_ptqi66GCucihVvJfMjLAmec39IyEx_6qawtMGysU/edit?usp=sharing"",""สบก!AT88"")"),92400)</f>
        <v>92400</v>
      </c>
      <c r="O102" s="101">
        <f ca="1">IF(L102&gt;0,N102*100/L102,0)</f>
        <v>100</v>
      </c>
      <c r="P102" s="101">
        <f ca="1">IF(M102&gt;0,N102*100/M102,0)</f>
        <v>100</v>
      </c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IFERROR(__xludf.DUMMYFUNCTION("IMPORTRANGE(""https://docs.google.com/spreadsheets/d/1IYY_tgx_IHuhSq3AJ5eI5OnqOPBNLWSHKh2a30DoXe8/edit?usp=sharing"",""พัทลุง!J39"")"),0)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IFERROR(__xludf.DUMMYFUNCTION("IMPORTRANGE(""https://docs.google.com/spreadsheets/d/1IYY_tgx_IHuhSq3AJ5eI5OnqOPBNLWSHKh2a30DoXe8/edit?usp=sharing"",""พัทลุง!J40"")"),1)</f>
        <v>1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IFERROR(__xludf.DUMMYFUNCTION("IMPORTRANGE(""https://docs.google.com/spreadsheets/d/1IYY_tgx_IHuhSq3AJ5eI5OnqOPBNLWSHKh2a30DoXe8/edit?usp=sharing"",""พัทลุง!J41"")"),1)</f>
        <v>1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IFERROR(__xludf.DUMMYFUNCTION("IMPORTRANGE(""https://docs.google.com/spreadsheets/d/1IYY_tgx_IHuhSq3AJ5eI5OnqOPBNLWSHKh2a30DoXe8/edit?usp=sharing"",""พัทลุง!J42"")"),1)</f>
        <v>1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IFERROR(__xludf.DUMMYFUNCTION("IMPORTRANGE(""https://docs.google.com/spreadsheets/d/1IYY_tgx_IHuhSq3AJ5eI5OnqOPBNLWSHKh2a30DoXe8/edit?usp=sharing"",""พัทลุง!I43"")"),1)</f>
        <v>1</v>
      </c>
      <c r="J108" s="210">
        <f ca="1">IFERROR(__xludf.DUMMYFUNCTION("IMPORTRANGE(""https://docs.google.com/spreadsheets/d/1IYY_tgx_IHuhSq3AJ5eI5OnqOPBNLWSHKh2a30DoXe8/edit?usp=sharing"",""พัทลุง!J43"")"),1)</f>
        <v>1</v>
      </c>
      <c r="K108" s="230">
        <f t="shared" ref="K108:K113" ca="1" si="56">IF(I108&gt;0,J108*100/I108,0)</f>
        <v>100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IFERROR(__xludf.DUMMYFUNCTION("IMPORTRANGE(""https://docs.google.com/spreadsheets/d/1IYY_tgx_IHuhSq3AJ5eI5OnqOPBNLWSHKh2a30DoXe8/edit?usp=sharing"",""พัทลุง!I44"")"),4)</f>
        <v>4</v>
      </c>
      <c r="J109" s="210">
        <f ca="1">IFERROR(__xludf.DUMMYFUNCTION("IMPORTRANGE(""https://docs.google.com/spreadsheets/d/1IYY_tgx_IHuhSq3AJ5eI5OnqOPBNLWSHKh2a30DoXe8/edit?usp=sharing"",""พัทลุง!J44"")"),4)</f>
        <v>4</v>
      </c>
      <c r="K109" s="230">
        <f t="shared" ca="1" si="56"/>
        <v>100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IFERROR(__xludf.DUMMYFUNCTION("IMPORTRANGE(""https://docs.google.com/spreadsheets/d/1IYY_tgx_IHuhSq3AJ5eI5OnqOPBNLWSHKh2a30DoXe8/edit?usp=sharing"",""พัทลุง!I45"")"),4)</f>
        <v>4</v>
      </c>
      <c r="J110" s="210">
        <f ca="1">IFERROR(__xludf.DUMMYFUNCTION("IMPORTRANGE(""https://docs.google.com/spreadsheets/d/1IYY_tgx_IHuhSq3AJ5eI5OnqOPBNLWSHKh2a30DoXe8/edit?usp=sharing"",""พัทลุง!J45"")"),4)</f>
        <v>4</v>
      </c>
      <c r="K110" s="230">
        <f t="shared" ca="1" si="56"/>
        <v>100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IFERROR(__xludf.DUMMYFUNCTION("IMPORTRANGE(""https://docs.google.com/spreadsheets/d/1IYY_tgx_IHuhSq3AJ5eI5OnqOPBNLWSHKh2a30DoXe8/edit?usp=sharing"",""พัทลุง!I46"")"),4)</f>
        <v>4</v>
      </c>
      <c r="J111" s="210">
        <f ca="1">IFERROR(__xludf.DUMMYFUNCTION("IMPORTRANGE(""https://docs.google.com/spreadsheets/d/1IYY_tgx_IHuhSq3AJ5eI5OnqOPBNLWSHKh2a30DoXe8/edit?usp=sharing"",""พัทลุง!J46"")"),4)</f>
        <v>4</v>
      </c>
      <c r="K111" s="230">
        <f t="shared" ca="1" si="56"/>
        <v>100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IFERROR(__xludf.DUMMYFUNCTION("IMPORTRANGE(""https://docs.google.com/spreadsheets/d/1IYY_tgx_IHuhSq3AJ5eI5OnqOPBNLWSHKh2a30DoXe8/edit?usp=sharing"",""พัทลุง!I47"")"),4)</f>
        <v>4</v>
      </c>
      <c r="J112" s="210">
        <f ca="1">IFERROR(__xludf.DUMMYFUNCTION("IMPORTRANGE(""https://docs.google.com/spreadsheets/d/1IYY_tgx_IHuhSq3AJ5eI5OnqOPBNLWSHKh2a30DoXe8/edit?usp=sharing"",""พัทลุง!J47"")"),4)</f>
        <v>4</v>
      </c>
      <c r="K112" s="230">
        <f t="shared" ca="1" si="56"/>
        <v>100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IFERROR(__xludf.DUMMYFUNCTION("IMPORTRANGE(""https://docs.google.com/spreadsheets/d/1IYY_tgx_IHuhSq3AJ5eI5OnqOPBNLWSHKh2a30DoXe8/edit?usp=sharing"",""พัทลุง!I48"")"),1)</f>
        <v>1</v>
      </c>
      <c r="J113" s="210">
        <f ca="1">IFERROR(__xludf.DUMMYFUNCTION("IMPORTRANGE(""https://docs.google.com/spreadsheets/d/1IYY_tgx_IHuhSq3AJ5eI5OnqOPBNLWSHKh2a30DoXe8/edit?usp=sharing"",""พัทลุง!J48"")"),1)</f>
        <v>1</v>
      </c>
      <c r="K113" s="230">
        <f t="shared" ca="1" si="56"/>
        <v>100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IFERROR(__xludf.DUMMYFUNCTION("IMPORTRANGE(""https://docs.google.com/spreadsheets/d/1IYY_tgx_IHuhSq3AJ5eI5OnqOPBNLWSHKh2a30DoXe8/edit?usp=sharing"",""พัทลุง!J49"")"),1)</f>
        <v>1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IFERROR(__xludf.DUMMYFUNCTION("IMPORTRANGE(""https://docs.google.com/spreadsheets/d/1IYY_tgx_IHuhSq3AJ5eI5OnqOPBNLWSHKh2a30DoXe8/edit?usp=sharing"",""พัทลุง!J50"")"),1)</f>
        <v>1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IFERROR(__xludf.DUMMYFUNCTION("IMPORTRANGE(""https://docs.google.com/spreadsheets/d/1IYY_tgx_IHuhSq3AJ5eI5OnqOPBNLWSHKh2a30DoXe8/edit?usp=sharing"",""พัทลุง!I52"")"),0)</f>
        <v>0</v>
      </c>
      <c r="J117" s="146">
        <f ca="1">IFERROR(__xludf.DUMMYFUNCTION("IMPORTRANGE(""https://docs.google.com/spreadsheets/d/1IYY_tgx_IHuhSq3AJ5eI5OnqOPBNLWSHKh2a30DoXe8/edit?usp=sharing"",""พัทลุง!J52"")"),0)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2" t="s">
        <v>17</v>
      </c>
      <c r="E118" s="573"/>
      <c r="F118" s="573"/>
      <c r="G118" s="573"/>
      <c r="H118" s="153" t="s">
        <v>12</v>
      </c>
      <c r="I118" s="166"/>
      <c r="J118" s="166"/>
      <c r="K118" s="167"/>
      <c r="L118" s="156">
        <f t="shared" ref="L118:N118" ca="1" si="57">L119+L120</f>
        <v>0</v>
      </c>
      <c r="M118" s="156">
        <f t="shared" ca="1" si="57"/>
        <v>0</v>
      </c>
      <c r="N118" s="156">
        <f t="shared" ca="1" si="57"/>
        <v>0</v>
      </c>
      <c r="O118" s="155">
        <f t="shared" ref="O118:O120" ca="1" si="58">IF(L118&gt;0,N118*100/L118,0)</f>
        <v>0</v>
      </c>
      <c r="P118" s="155">
        <f t="shared" ref="P118:P120" ca="1" si="59">IF(M118&gt;0,N118*100/M118,0)</f>
        <v>0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0">L121+L125</f>
        <v>0</v>
      </c>
      <c r="M119" s="161">
        <f t="shared" si="60"/>
        <v>0</v>
      </c>
      <c r="N119" s="161">
        <f t="shared" si="60"/>
        <v>0</v>
      </c>
      <c r="O119" s="160">
        <f t="shared" si="58"/>
        <v>0</v>
      </c>
      <c r="P119" s="160">
        <f t="shared" si="59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1">L122+L126</f>
        <v>0</v>
      </c>
      <c r="M120" s="161">
        <f t="shared" ca="1" si="61"/>
        <v>0</v>
      </c>
      <c r="N120" s="161">
        <f t="shared" ca="1" si="61"/>
        <v>0</v>
      </c>
      <c r="O120" s="160">
        <f t="shared" ca="1" si="58"/>
        <v>0</v>
      </c>
      <c r="P120" s="160">
        <f t="shared" ca="1" si="59"/>
        <v>0</v>
      </c>
    </row>
    <row r="121" spans="1:16" ht="21.75" customHeight="1" x14ac:dyDescent="0.3">
      <c r="A121" s="162"/>
      <c r="B121" s="163"/>
      <c r="C121" s="163" t="s">
        <v>16</v>
      </c>
      <c r="D121" s="574" t="s">
        <v>20</v>
      </c>
      <c r="E121" s="575"/>
      <c r="F121" s="575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0</v>
      </c>
      <c r="M122" s="173">
        <f ca="1">IFERROR(__xludf.DUMMYFUNCTION("IMPORTRANGE(""https://docs.google.com/spreadsheets/d/1Yj_ptqi66GCucihVvJfMjLAmec39IyEx_6qawtMGysU/edit?usp=sharing"",""สบก!BA88"")"),0)</f>
        <v>0</v>
      </c>
      <c r="N122" s="174">
        <f ca="1">IFERROR(__xludf.DUMMYFUNCTION("IMPORTRANGE(""https://docs.google.com/spreadsheets/d/1Yj_ptqi66GCucihVvJfMjLAmec39IyEx_6qawtMGysU/edit?usp=sharing"",""สบก!BB88"")"),0)</f>
        <v>0</v>
      </c>
      <c r="O122" s="175">
        <f ca="1">IF(L122&gt;0,N122*100/L122,0)</f>
        <v>0</v>
      </c>
      <c r="P122" s="175">
        <f ca="1">IF(M122&gt;0,N122*100/M122,0)</f>
        <v>0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IFERROR(__xludf.DUMMYFUNCTION("IMPORTRANGE(""https://docs.google.com/spreadsheets/d/1Yj_ptqi66GCucihVvJfMjLAmec39IyEx_6qawtMGysU/edit?usp=sharing"",""สบก!AW88"")"),0)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IFERROR(__xludf.DUMMYFUNCTION("IMPORTRANGE(""https://docs.google.com/spreadsheets/d/1Yj_ptqi66GCucihVvJfMjLAmec39IyEx_6qawtMGysU/edit?usp=sharing"",""สบก!AX88"")"),0)</f>
        <v>0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6" t="s">
        <v>23</v>
      </c>
      <c r="E125" s="575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IFERROR(__xludf.DUMMYFUNCTION("IMPORTRANGE(""https://docs.google.com/spreadsheets/d/1Yj_ptqi66GCucihVvJfMjLAmec39IyEx_6qawtMGysU/edit?usp=sharing"",""สบก!AY88"")"),0)</f>
        <v>0</v>
      </c>
      <c r="M126" s="101"/>
      <c r="N126" s="91">
        <f ca="1">IFERROR(__xludf.DUMMYFUNCTION("IMPORTRANGE(""https://docs.google.com/spreadsheets/d/1Yj_ptqi66GCucihVvJfMjLAmec39IyEx_6qawtMGysU/edit?usp=sharing"",""สบก!BC88"")"),0)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276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IFERROR(__xludf.DUMMYFUNCTION("IMPORTRANGE(""https://docs.google.com/spreadsheets/d/1IYY_tgx_IHuhSq3AJ5eI5OnqOPBNLWSHKh2a30DoXe8/edit?usp=sharing"",""พัทลุง!J58"")"),0)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IFERROR(__xludf.DUMMYFUNCTION("IMPORTRANGE(""https://docs.google.com/spreadsheets/d/1IYY_tgx_IHuhSq3AJ5eI5OnqOPBNLWSHKh2a30DoXe8/edit?usp=sharing"",""พัทลุง!J59"")"),0)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IFERROR(__xludf.DUMMYFUNCTION("IMPORTRANGE(""https://docs.google.com/spreadsheets/d/1IYY_tgx_IHuhSq3AJ5eI5OnqOPBNLWSHKh2a30DoXe8/edit?usp=sharing"",""พัทลุง!J60"")"),0)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IFERROR(__xludf.DUMMYFUNCTION("IMPORTRANGE(""https://docs.google.com/spreadsheets/d/1IYY_tgx_IHuhSq3AJ5eI5OnqOPBNLWSHKh2a30DoXe8/edit?usp=sharing"",""พัทลุง!J61"")"),0)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IFERROR(__xludf.DUMMYFUNCTION("IMPORTRANGE(""https://docs.google.com/spreadsheets/d/1IYY_tgx_IHuhSq3AJ5eI5OnqOPBNLWSHKh2a30DoXe8/edit?usp=sharing"",""พัทลุง!I62"")"),0)</f>
        <v>0</v>
      </c>
      <c r="J132" s="210">
        <f ca="1">IFERROR(__xludf.DUMMYFUNCTION("IMPORTRANGE(""https://docs.google.com/spreadsheets/d/1IYY_tgx_IHuhSq3AJ5eI5OnqOPBNLWSHKh2a30DoXe8/edit?usp=sharing"",""พัทลุง!J62"")"),0)</f>
        <v>0</v>
      </c>
      <c r="K132" s="230">
        <f t="shared" ref="K132:K133" ca="1" si="62">IF(I132&gt;0,J132*100/I132,0)</f>
        <v>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IFERROR(__xludf.DUMMYFUNCTION("IMPORTRANGE(""https://docs.google.com/spreadsheets/d/1IYY_tgx_IHuhSq3AJ5eI5OnqOPBNLWSHKh2a30DoXe8/edit?usp=sharing"",""พัทลุง!I63"")"),0)</f>
        <v>0</v>
      </c>
      <c r="J133" s="210">
        <f ca="1">IFERROR(__xludf.DUMMYFUNCTION("IMPORTRANGE(""https://docs.google.com/spreadsheets/d/1IYY_tgx_IHuhSq3AJ5eI5OnqOPBNLWSHKh2a30DoXe8/edit?usp=sharing"",""พัทลุง!J63"")"),0)</f>
        <v>0</v>
      </c>
      <c r="K133" s="230">
        <f t="shared" ca="1" si="62"/>
        <v>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IFERROR(__xludf.DUMMYFUNCTION("IMPORTRANGE(""https://docs.google.com/spreadsheets/d/1IYY_tgx_IHuhSq3AJ5eI5OnqOPBNLWSHKh2a30DoXe8/edit?usp=sharing"",""พัทลุง!J64"")"),0)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IFERROR(__xludf.DUMMYFUNCTION("IMPORTRANGE(""https://docs.google.com/spreadsheets/d/1IYY_tgx_IHuhSq3AJ5eI5OnqOPBNLWSHKh2a30DoXe8/edit?usp=sharing"",""พัทลุง!J65"")"),0)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IFERROR(__xludf.DUMMYFUNCTION("IMPORTRANGE(""https://docs.google.com/spreadsheets/d/1IYY_tgx_IHuhSq3AJ5eI5OnqOPBNLWSHKh2a30DoXe8/edit?usp=sharing"",""พัทลุง!I68"")"),0)</f>
        <v>0</v>
      </c>
      <c r="J138" s="273">
        <f ca="1">IFERROR(__xludf.DUMMYFUNCTION("IMPORTRANGE(""https://docs.google.com/spreadsheets/d/1IYY_tgx_IHuhSq3AJ5eI5OnqOPBNLWSHKh2a30DoXe8/edit?usp=sharing"",""พัทลุง!J68"")"),0)</f>
        <v>0</v>
      </c>
      <c r="K138" s="274">
        <f ca="1">IF(I138&gt;0,J138*100/I138,0)</f>
        <v>0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2" t="s">
        <v>17</v>
      </c>
      <c r="E140" s="573"/>
      <c r="F140" s="573"/>
      <c r="G140" s="573"/>
      <c r="H140" s="153" t="s">
        <v>12</v>
      </c>
      <c r="I140" s="166"/>
      <c r="J140" s="166"/>
      <c r="K140" s="167"/>
      <c r="L140" s="156">
        <f t="shared" ref="L140:N140" ca="1" si="63">L141+L142</f>
        <v>105975</v>
      </c>
      <c r="M140" s="156">
        <f t="shared" ca="1" si="63"/>
        <v>105975</v>
      </c>
      <c r="N140" s="156">
        <f t="shared" ca="1" si="63"/>
        <v>77290</v>
      </c>
      <c r="O140" s="155">
        <f t="shared" ref="O140:O142" ca="1" si="64">IF(L140&gt;0,N140*100/L140,0)</f>
        <v>72.932295352677514</v>
      </c>
      <c r="P140" s="155">
        <f t="shared" ref="P140:P142" ca="1" si="65">IF(M140&gt;0,N140*100/M140,0)</f>
        <v>72.932295352677514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6">L143+L147</f>
        <v>0</v>
      </c>
      <c r="M141" s="161">
        <f t="shared" si="66"/>
        <v>0</v>
      </c>
      <c r="N141" s="161">
        <f t="shared" si="66"/>
        <v>0</v>
      </c>
      <c r="O141" s="160">
        <f t="shared" si="64"/>
        <v>0</v>
      </c>
      <c r="P141" s="160">
        <f t="shared" si="65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7">L144+L148</f>
        <v>105975</v>
      </c>
      <c r="M142" s="161">
        <f t="shared" ca="1" si="67"/>
        <v>105975</v>
      </c>
      <c r="N142" s="161">
        <f t="shared" ca="1" si="67"/>
        <v>77290</v>
      </c>
      <c r="O142" s="160">
        <f t="shared" ca="1" si="64"/>
        <v>72.932295352677514</v>
      </c>
      <c r="P142" s="160">
        <f t="shared" ca="1" si="65"/>
        <v>72.932295352677514</v>
      </c>
    </row>
    <row r="143" spans="1:16" ht="21.75" customHeight="1" x14ac:dyDescent="0.3">
      <c r="A143" s="162"/>
      <c r="B143" s="163"/>
      <c r="C143" s="163" t="s">
        <v>16</v>
      </c>
      <c r="D143" s="574" t="s">
        <v>20</v>
      </c>
      <c r="E143" s="575"/>
      <c r="F143" s="575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105975</v>
      </c>
      <c r="M144" s="173">
        <f ca="1">IFERROR(__xludf.DUMMYFUNCTION("IMPORTRANGE(""https://docs.google.com/spreadsheets/d/1Yj_ptqi66GCucihVvJfMjLAmec39IyEx_6qawtMGysU/edit?usp=sharing"",""สบก!BJ88"")"),105975)</f>
        <v>105975</v>
      </c>
      <c r="N144" s="174">
        <f ca="1">IFERROR(__xludf.DUMMYFUNCTION("IMPORTRANGE(""https://docs.google.com/spreadsheets/d/1Yj_ptqi66GCucihVvJfMjLAmec39IyEx_6qawtMGysU/edit?usp=sharing"",""สบก!BK88"")"),77290)</f>
        <v>77290</v>
      </c>
      <c r="O144" s="175">
        <f ca="1">IF(L144&gt;0,N144*100/L144,0)</f>
        <v>72.932295352677514</v>
      </c>
      <c r="P144" s="175">
        <f ca="1">IF(M144&gt;0,N144*100/M144,0)</f>
        <v>72.932295352677514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IFERROR(__xludf.DUMMYFUNCTION("IMPORTRANGE(""https://docs.google.com/spreadsheets/d/1Yj_ptqi66GCucihVvJfMjLAmec39IyEx_6qawtMGysU/edit?usp=sharing"",""สบก!BF88"")"),0)</f>
        <v>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IFERROR(__xludf.DUMMYFUNCTION("IMPORTRANGE(""https://docs.google.com/spreadsheets/d/1Yj_ptqi66GCucihVvJfMjLAmec39IyEx_6qawtMGysU/edit?usp=sharing"",""สบก!BG88"")"),105975)</f>
        <v>105975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6" t="s">
        <v>23</v>
      </c>
      <c r="E147" s="575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IFERROR(__xludf.DUMMYFUNCTION("IMPORTRANGE(""https://docs.google.com/spreadsheets/d/1Yj_ptqi66GCucihVvJfMjLAmec39IyEx_6qawtMGysU/edit?usp=sharing"",""สบก!BH88"")"),0)</f>
        <v>0</v>
      </c>
      <c r="M148" s="101"/>
      <c r="N148" s="91">
        <f ca="1">IFERROR(__xludf.DUMMYFUNCTION("IMPORTRANGE(""https://docs.google.com/spreadsheets/d/1Yj_ptqi66GCucihVvJfMjLAmec39IyEx_6qawtMGysU/edit?usp=sharing"",""สบก!BL88"")"),0)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IFERROR(__xludf.DUMMYFUNCTION("IMPORTRANGE(""https://docs.google.com/spreadsheets/d/1IYY_tgx_IHuhSq3AJ5eI5OnqOPBNLWSHKh2a30DoXe8/edit?usp=sharing"",""พัทลุง!I74"")"),4)</f>
        <v>4</v>
      </c>
      <c r="J149" s="281">
        <f ca="1">IFERROR(__xludf.DUMMYFUNCTION("IMPORTRANGE(""https://docs.google.com/spreadsheets/d/1IYY_tgx_IHuhSq3AJ5eI5OnqOPBNLWSHKh2a30DoXe8/edit?usp=sharing"",""พัทลุง!J74"")"),4)</f>
        <v>4</v>
      </c>
      <c r="K149" s="282">
        <f ca="1">IF(I149&gt;0,J149*100/I149,0)</f>
        <v>100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IFERROR(__xludf.DUMMYFUNCTION("IMPORTRANGE(""https://docs.google.com/spreadsheets/d/1IYY_tgx_IHuhSq3AJ5eI5OnqOPBNLWSHKh2a30DoXe8/edit?usp=sharing"",""พัทลุง!J79"")"),0)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IFERROR(__xludf.DUMMYFUNCTION("IMPORTRANGE(""https://docs.google.com/spreadsheets/d/1IYY_tgx_IHuhSq3AJ5eI5OnqOPBNLWSHKh2a30DoXe8/edit?usp=sharing"",""พัทลุง!J80"")"),1)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IFERROR(__xludf.DUMMYFUNCTION("IMPORTRANGE(""https://docs.google.com/spreadsheets/d/1IYY_tgx_IHuhSq3AJ5eI5OnqOPBNLWSHKh2a30DoXe8/edit?usp=sharing"",""พัทลุง!J81"")"),1)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IFERROR(__xludf.DUMMYFUNCTION("IMPORTRANGE(""https://docs.google.com/spreadsheets/d/1IYY_tgx_IHuhSq3AJ5eI5OnqOPBNLWSHKh2a30DoXe8/edit?usp=sharing"",""พัทลุง!J82"")"),1)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IFERROR(__xludf.DUMMYFUNCTION("IMPORTRANGE(""https://docs.google.com/spreadsheets/d/1IYY_tgx_IHuhSq3AJ5eI5OnqOPBNLWSHKh2a30DoXe8/edit?usp=sharing"",""พัทลุง!I83"")"),4)</f>
        <v>4</v>
      </c>
      <c r="J158" s="195">
        <f ca="1">IFERROR(__xludf.DUMMYFUNCTION("IMPORTRANGE(""https://docs.google.com/spreadsheets/d/1IYY_tgx_IHuhSq3AJ5eI5OnqOPBNLWSHKh2a30DoXe8/edit?usp=sharing"",""พัทลุง!J83"")"),4)</f>
        <v>4</v>
      </c>
      <c r="K158" s="167">
        <f ca="1">IF(I158&gt;0,J158*100/I158,0)</f>
        <v>100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IFERROR(__xludf.DUMMYFUNCTION("IMPORTRANGE(""https://docs.google.com/spreadsheets/d/1IYY_tgx_IHuhSq3AJ5eI5OnqOPBNLWSHKh2a30DoXe8/edit?usp=sharing"",""พัทลุง!J84"")"),75)</f>
        <v>75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IFERROR(__xludf.DUMMYFUNCTION("IMPORTRANGE(""https://docs.google.com/spreadsheets/d/1IYY_tgx_IHuhSq3AJ5eI5OnqOPBNLWSHKh2a30DoXe8/edit?usp=sharing"",""พัทลุง!J85"")"),75)</f>
        <v>75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IFERROR(__xludf.DUMMYFUNCTION("IMPORTRANGE(""https://docs.google.com/spreadsheets/d/1IYY_tgx_IHuhSq3AJ5eI5OnqOPBNLWSHKh2a30DoXe8/edit?usp=sharing"",""พัทลุง!J86"")"),0)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IFERROR(__xludf.DUMMYFUNCTION("IMPORTRANGE(""https://docs.google.com/spreadsheets/d/1IYY_tgx_IHuhSq3AJ5eI5OnqOPBNLWSHKh2a30DoXe8/edit?usp=sharing"",""พัทลุง!J87"")"),1)</f>
        <v>1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IFERROR(__xludf.DUMMYFUNCTION("IMPORTRANGE(""https://docs.google.com/spreadsheets/d/1IYY_tgx_IHuhSq3AJ5eI5OnqOPBNLWSHKh2a30DoXe8/edit?usp=sharing"",""พัทลุง!J88"")"),1)</f>
        <v>1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IFERROR(__xludf.DUMMYFUNCTION("IMPORTRANGE(""https://docs.google.com/spreadsheets/d/1IYY_tgx_IHuhSq3AJ5eI5OnqOPBNLWSHKh2a30DoXe8/edit?usp=sharing"",""พัทลุง!I89"")"),2)</f>
        <v>2</v>
      </c>
      <c r="J164" s="290">
        <f ca="1">IFERROR(__xludf.DUMMYFUNCTION("IMPORTRANGE(""https://docs.google.com/spreadsheets/d/1IYY_tgx_IHuhSq3AJ5eI5OnqOPBNLWSHKh2a30DoXe8/edit?usp=sharing"",""พัทลุง!J89"")"),2)</f>
        <v>2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IFERROR(__xludf.DUMMYFUNCTION("IMPORTRANGE(""https://docs.google.com/spreadsheets/d/1IYY_tgx_IHuhSq3AJ5eI5OnqOPBNLWSHKh2a30DoXe8/edit?usp=sharing"",""พัทลุง!J94"")"),0)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IFERROR(__xludf.DUMMYFUNCTION("IMPORTRANGE(""https://docs.google.com/spreadsheets/d/1IYY_tgx_IHuhSq3AJ5eI5OnqOPBNLWSHKh2a30DoXe8/edit?usp=sharing"",""พัทลุง!J95"")"),1)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IFERROR(__xludf.DUMMYFUNCTION("IMPORTRANGE(""https://docs.google.com/spreadsheets/d/1IYY_tgx_IHuhSq3AJ5eI5OnqOPBNLWSHKh2a30DoXe8/edit?usp=sharing"",""พัทลุง!J96"")"),1)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IFERROR(__xludf.DUMMYFUNCTION("IMPORTRANGE(""https://docs.google.com/spreadsheets/d/1IYY_tgx_IHuhSq3AJ5eI5OnqOPBNLWSHKh2a30DoXe8/edit?usp=sharing"",""พัทลุง!J97"")"),1)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IFERROR(__xludf.DUMMYFUNCTION("IMPORTRANGE(""https://docs.google.com/spreadsheets/d/1IYY_tgx_IHuhSq3AJ5eI5OnqOPBNLWSHKh2a30DoXe8/edit?usp=sharing"",""พัทลุง!I98"")"),2)</f>
        <v>2</v>
      </c>
      <c r="J173" s="195">
        <f ca="1">IFERROR(__xludf.DUMMYFUNCTION("IMPORTRANGE(""https://docs.google.com/spreadsheets/d/1IYY_tgx_IHuhSq3AJ5eI5OnqOPBNLWSHKh2a30DoXe8/edit?usp=sharing"",""พัทลุง!J98"")"),2)</f>
        <v>2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IFERROR(__xludf.DUMMYFUNCTION("IMPORTRANGE(""https://docs.google.com/spreadsheets/d/1IYY_tgx_IHuhSq3AJ5eI5OnqOPBNLWSHKh2a30DoXe8/edit?usp=sharing"",""พัทลุง!J99"")"),1)</f>
        <v>1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IFERROR(__xludf.DUMMYFUNCTION("IMPORTRANGE(""https://docs.google.com/spreadsheets/d/1IYY_tgx_IHuhSq3AJ5eI5OnqOPBNLWSHKh2a30DoXe8/edit?usp=sharing"",""พัทลุง!J100"")"),1)</f>
        <v>1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IFERROR(__xludf.DUMMYFUNCTION("IMPORTRANGE(""https://docs.google.com/spreadsheets/d/1IYY_tgx_IHuhSq3AJ5eI5OnqOPBNLWSHKh2a30DoXe8/edit?usp=sharing"",""พัทลุง!I101"")"),0)</f>
        <v>0</v>
      </c>
      <c r="J176" s="290">
        <f ca="1">IFERROR(__xludf.DUMMYFUNCTION("IMPORTRANGE(""https://docs.google.com/spreadsheets/d/1IYY_tgx_IHuhSq3AJ5eI5OnqOPBNLWSHKh2a30DoXe8/edit?usp=sharing"",""พัทลุง!J101"")"),0)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IFERROR(__xludf.DUMMYFUNCTION("IMPORTRANGE(""https://docs.google.com/spreadsheets/d/1IYY_tgx_IHuhSq3AJ5eI5OnqOPBNLWSHKh2a30DoXe8/edit?usp=sharing"",""พัทลุง!J106"")"),0)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IFERROR(__xludf.DUMMYFUNCTION("IMPORTRANGE(""https://docs.google.com/spreadsheets/d/1IYY_tgx_IHuhSq3AJ5eI5OnqOPBNLWSHKh2a30DoXe8/edit?usp=sharing"",""พัทลุง!J107"")"),0)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IFERROR(__xludf.DUMMYFUNCTION("IMPORTRANGE(""https://docs.google.com/spreadsheets/d/1IYY_tgx_IHuhSq3AJ5eI5OnqOPBNLWSHKh2a30DoXe8/edit?usp=sharing"",""พัทลุง!J108"")"),0)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IFERROR(__xludf.DUMMYFUNCTION("IMPORTRANGE(""https://docs.google.com/spreadsheets/d/1IYY_tgx_IHuhSq3AJ5eI5OnqOPBNLWSHKh2a30DoXe8/edit?usp=sharing"",""พัทลุง!J109"")"),0)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IFERROR(__xludf.DUMMYFUNCTION("IMPORTRANGE(""https://docs.google.com/spreadsheets/d/1IYY_tgx_IHuhSq3AJ5eI5OnqOPBNLWSHKh2a30DoXe8/edit?usp=sharing"",""พัทลุง!I110"")"),0)</f>
        <v>0</v>
      </c>
      <c r="J185" s="210">
        <f ca="1">IFERROR(__xludf.DUMMYFUNCTION("IMPORTRANGE(""https://docs.google.com/spreadsheets/d/1IYY_tgx_IHuhSq3AJ5eI5OnqOPBNLWSHKh2a30DoXe8/edit?usp=sharing"",""พัทลุง!J110"")"),0)</f>
        <v>0</v>
      </c>
      <c r="K185" s="230">
        <f t="shared" ref="K185:K186" ca="1" si="68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IFERROR(__xludf.DUMMYFUNCTION("IMPORTRANGE(""https://docs.google.com/spreadsheets/d/1IYY_tgx_IHuhSq3AJ5eI5OnqOPBNLWSHKh2a30DoXe8/edit?usp=sharing"",""พัทลุง!I111"")"),0)</f>
        <v>0</v>
      </c>
      <c r="J186" s="210">
        <f ca="1">IFERROR(__xludf.DUMMYFUNCTION("IMPORTRANGE(""https://docs.google.com/spreadsheets/d/1IYY_tgx_IHuhSq3AJ5eI5OnqOPBNLWSHKh2a30DoXe8/edit?usp=sharing"",""พัทลุง!J111"")"),0)</f>
        <v>0</v>
      </c>
      <c r="K186" s="230">
        <f t="shared" ca="1" si="68"/>
        <v>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IFERROR(__xludf.DUMMYFUNCTION("IMPORTRANGE(""https://docs.google.com/spreadsheets/d/1IYY_tgx_IHuhSq3AJ5eI5OnqOPBNLWSHKh2a30DoXe8/edit?usp=sharing"",""พัทลุง!J112"")"),0)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IFERROR(__xludf.DUMMYFUNCTION("IMPORTRANGE(""https://docs.google.com/spreadsheets/d/1IYY_tgx_IHuhSq3AJ5eI5OnqOPBNLWSHKh2a30DoXe8/edit?usp=sharing"",""พัทลุง!J113"")"),0)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IFERROR(__xludf.DUMMYFUNCTION("IMPORTRANGE(""https://docs.google.com/spreadsheets/d/1IYY_tgx_IHuhSq3AJ5eI5OnqOPBNLWSHKh2a30DoXe8/edit?usp=sharing"",""พัทลุง!I114"")"),10000)</f>
        <v>10000</v>
      </c>
      <c r="J189" s="290">
        <f ca="1">IFERROR(__xludf.DUMMYFUNCTION("IMPORTRANGE(""https://docs.google.com/spreadsheets/d/1IYY_tgx_IHuhSq3AJ5eI5OnqOPBNLWSHKh2a30DoXe8/edit?usp=sharing"",""พัทลุง!J114"")"),10000)</f>
        <v>10000</v>
      </c>
      <c r="K189" s="291">
        <f ca="1">IF(I189&gt;0,J189*100/I189,0)</f>
        <v>100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IFERROR(__xludf.DUMMYFUNCTION("IMPORTRANGE(""https://docs.google.com/spreadsheets/d/1IYY_tgx_IHuhSq3AJ5eI5OnqOPBNLWSHKh2a30DoXe8/edit?usp=sharing"",""พัทลุง!J119"")"),0)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IFERROR(__xludf.DUMMYFUNCTION("IMPORTRANGE(""https://docs.google.com/spreadsheets/d/1IYY_tgx_IHuhSq3AJ5eI5OnqOPBNLWSHKh2a30DoXe8/edit?usp=sharing"",""พัทลุง!J120"")"),1)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IFERROR(__xludf.DUMMYFUNCTION("IMPORTRANGE(""https://docs.google.com/spreadsheets/d/1IYY_tgx_IHuhSq3AJ5eI5OnqOPBNLWSHKh2a30DoXe8/edit?usp=sharing"",""พัทลุง!J121"")"),1)</f>
        <v>1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IFERROR(__xludf.DUMMYFUNCTION("IMPORTRANGE(""https://docs.google.com/spreadsheets/d/1IYY_tgx_IHuhSq3AJ5eI5OnqOPBNLWSHKh2a30DoXe8/edit?usp=sharing"",""พัทลุง!J122"")"),1)</f>
        <v>1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IFERROR(__xludf.DUMMYFUNCTION("IMPORTRANGE(""https://docs.google.com/spreadsheets/d/1IYY_tgx_IHuhSq3AJ5eI5OnqOPBNLWSHKh2a30DoXe8/edit?usp=sharing"",""พัทลุง!I124"")"),10000)</f>
        <v>10000</v>
      </c>
      <c r="J199" s="195">
        <f ca="1">IFERROR(__xludf.DUMMYFUNCTION("IMPORTRANGE(""https://docs.google.com/spreadsheets/d/1IYY_tgx_IHuhSq3AJ5eI5OnqOPBNLWSHKh2a30DoXe8/edit?usp=sharing"",""พัทลุง!J124"")"),10000)</f>
        <v>10000</v>
      </c>
      <c r="K199" s="167">
        <f t="shared" ref="K199:K201" ca="1" si="69">IF(I199&gt;0,J199*100/I199,0)</f>
        <v>100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IFERROR(__xludf.DUMMYFUNCTION("IMPORTRANGE(""https://docs.google.com/spreadsheets/d/1IYY_tgx_IHuhSq3AJ5eI5OnqOPBNLWSHKh2a30DoXe8/edit?usp=sharing"",""พัทลุง!I125"")"),10000)</f>
        <v>10000</v>
      </c>
      <c r="J200" s="195">
        <f ca="1">IFERROR(__xludf.DUMMYFUNCTION("IMPORTRANGE(""https://docs.google.com/spreadsheets/d/1IYY_tgx_IHuhSq3AJ5eI5OnqOPBNLWSHKh2a30DoXe8/edit?usp=sharing"",""พัทลุง!J125"")"),10000)</f>
        <v>10000</v>
      </c>
      <c r="K200" s="167">
        <f t="shared" ca="1" si="69"/>
        <v>100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IFERROR(__xludf.DUMMYFUNCTION("IMPORTRANGE(""https://docs.google.com/spreadsheets/d/1IYY_tgx_IHuhSq3AJ5eI5OnqOPBNLWSHKh2a30DoXe8/edit?usp=sharing"",""พัทลุง!I126"")"),0)</f>
        <v>0</v>
      </c>
      <c r="J201" s="195">
        <f ca="1">IFERROR(__xludf.DUMMYFUNCTION("IMPORTRANGE(""https://docs.google.com/spreadsheets/d/1IYY_tgx_IHuhSq3AJ5eI5OnqOPBNLWSHKh2a30DoXe8/edit?usp=sharing"",""พัทลุง!J126"")"),0)</f>
        <v>0</v>
      </c>
      <c r="K201" s="167">
        <f t="shared" ca="1" si="69"/>
        <v>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IFERROR(__xludf.DUMMYFUNCTION("IMPORTRANGE(""https://docs.google.com/spreadsheets/d/1IYY_tgx_IHuhSq3AJ5eI5OnqOPBNLWSHKh2a30DoXe8/edit?usp=sharing"",""พัทลุง!J127"")"),1)</f>
        <v>1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IFERROR(__xludf.DUMMYFUNCTION("IMPORTRANGE(""https://docs.google.com/spreadsheets/d/1IYY_tgx_IHuhSq3AJ5eI5OnqOPBNLWSHKh2a30DoXe8/edit?usp=sharing"",""พัทลุง!J128"")"),1)</f>
        <v>1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IFERROR(__xludf.DUMMYFUNCTION("IMPORTRANGE(""https://docs.google.com/spreadsheets/d/1IYY_tgx_IHuhSq3AJ5eI5OnqOPBNLWSHKh2a30DoXe8/edit?usp=sharing"",""พัทลุง!I129"")"),0)</f>
        <v>0</v>
      </c>
      <c r="J204" s="290">
        <f ca="1">IFERROR(__xludf.DUMMYFUNCTION("IMPORTRANGE(""https://docs.google.com/spreadsheets/d/1IYY_tgx_IHuhSq3AJ5eI5OnqOPBNLWSHKh2a30DoXe8/edit?usp=sharing"",""พัทลุง!J129"")"),0)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IFERROR(__xludf.DUMMYFUNCTION("IMPORTRANGE(""https://docs.google.com/spreadsheets/d/1IYY_tgx_IHuhSq3AJ5eI5OnqOPBNLWSHKh2a30DoXe8/edit?usp=sharing"",""พัทลุง!J134"")"),0)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IFERROR(__xludf.DUMMYFUNCTION("IMPORTRANGE(""https://docs.google.com/spreadsheets/d/1IYY_tgx_IHuhSq3AJ5eI5OnqOPBNLWSHKh2a30DoXe8/edit?usp=sharing"",""พัทลุง!J135"")"),0)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IFERROR(__xludf.DUMMYFUNCTION("IMPORTRANGE(""https://docs.google.com/spreadsheets/d/1IYY_tgx_IHuhSq3AJ5eI5OnqOPBNLWSHKh2a30DoXe8/edit?usp=sharing"",""พัทลุง!J136"")"),0)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IFERROR(__xludf.DUMMYFUNCTION("IMPORTRANGE(""https://docs.google.com/spreadsheets/d/1IYY_tgx_IHuhSq3AJ5eI5OnqOPBNLWSHKh2a30DoXe8/edit?usp=sharing"",""พัทลุง!J137"")"),0)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IFERROR(__xludf.DUMMYFUNCTION("IMPORTRANGE(""https://docs.google.com/spreadsheets/d/1IYY_tgx_IHuhSq3AJ5eI5OnqOPBNLWSHKh2a30DoXe8/edit?usp=sharing"",""พัทลุง!I138"")"),0)</f>
        <v>0</v>
      </c>
      <c r="J213" s="210">
        <f ca="1">IFERROR(__xludf.DUMMYFUNCTION("IMPORTRANGE(""https://docs.google.com/spreadsheets/d/1IYY_tgx_IHuhSq3AJ5eI5OnqOPBNLWSHKh2a30DoXe8/edit?usp=sharing"",""พัทลุง!J138"")"),0)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IFERROR(__xludf.DUMMYFUNCTION("IMPORTRANGE(""https://docs.google.com/spreadsheets/d/1IYY_tgx_IHuhSq3AJ5eI5OnqOPBNLWSHKh2a30DoXe8/edit?usp=sharing"",""พัทลุง!I140"")"),0)</f>
        <v>0</v>
      </c>
      <c r="J215" s="210">
        <f ca="1">IFERROR(__xludf.DUMMYFUNCTION("IMPORTRANGE(""https://docs.google.com/spreadsheets/d/1IYY_tgx_IHuhSq3AJ5eI5OnqOPBNLWSHKh2a30DoXe8/edit?usp=sharing"",""พัทลุง!J140"")"),0)</f>
        <v>0</v>
      </c>
      <c r="K215" s="230">
        <f t="shared" ref="K215:K216" ca="1" si="70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IFERROR(__xludf.DUMMYFUNCTION("IMPORTRANGE(""https://docs.google.com/spreadsheets/d/1IYY_tgx_IHuhSq3AJ5eI5OnqOPBNLWSHKh2a30DoXe8/edit?usp=sharing"",""พัทลุง!I141"")"),0)</f>
        <v>0</v>
      </c>
      <c r="J216" s="210">
        <f ca="1">IFERROR(__xludf.DUMMYFUNCTION("IMPORTRANGE(""https://docs.google.com/spreadsheets/d/1IYY_tgx_IHuhSq3AJ5eI5OnqOPBNLWSHKh2a30DoXe8/edit?usp=sharing"",""พัทลุง!J141"")"),0)</f>
        <v>0</v>
      </c>
      <c r="K216" s="230">
        <f t="shared" ca="1" si="70"/>
        <v>0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IFERROR(__xludf.DUMMYFUNCTION("IMPORTRANGE(""https://docs.google.com/spreadsheets/d/1IYY_tgx_IHuhSq3AJ5eI5OnqOPBNLWSHKh2a30DoXe8/edit?usp=sharing"",""พัทลุง!J142"")"),0)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IFERROR(__xludf.DUMMYFUNCTION("IMPORTRANGE(""https://docs.google.com/spreadsheets/d/1IYY_tgx_IHuhSq3AJ5eI5OnqOPBNLWSHKh2a30DoXe8/edit?usp=sharing"",""พัทลุง!J143"")"),0)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IFERROR(__xludf.DUMMYFUNCTION("IMPORTRANGE(""https://docs.google.com/spreadsheets/d/1IYY_tgx_IHuhSq3AJ5eI5OnqOPBNLWSHKh2a30DoXe8/edit?usp=sharing"",""พัทลุง!I144"")"),13)</f>
        <v>13</v>
      </c>
      <c r="J219" s="273">
        <f ca="1">IFERROR(__xludf.DUMMYFUNCTION("IMPORTRANGE(""https://docs.google.com/spreadsheets/d/1IYY_tgx_IHuhSq3AJ5eI5OnqOPBNLWSHKh2a30DoXe8/edit?usp=sharing"",""พัทลุง!J144"")"),13)</f>
        <v>13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2" t="s">
        <v>17</v>
      </c>
      <c r="E220" s="573"/>
      <c r="F220" s="573"/>
      <c r="G220" s="573"/>
      <c r="H220" s="153" t="s">
        <v>12</v>
      </c>
      <c r="I220" s="166"/>
      <c r="J220" s="166"/>
      <c r="K220" s="167"/>
      <c r="L220" s="156">
        <f t="shared" ref="L220:N220" ca="1" si="71">L221+L222</f>
        <v>19295</v>
      </c>
      <c r="M220" s="156">
        <f t="shared" ca="1" si="71"/>
        <v>19295</v>
      </c>
      <c r="N220" s="156">
        <f t="shared" ca="1" si="71"/>
        <v>19295</v>
      </c>
      <c r="O220" s="155">
        <f t="shared" ref="O220:O222" ca="1" si="72">IF(L220&gt;0,N220*100/L220,0)</f>
        <v>100</v>
      </c>
      <c r="P220" s="155">
        <f t="shared" ref="P220:P222" ca="1" si="73">IF(M220&gt;0,N220*100/M220,0)</f>
        <v>100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4">L223+L227</f>
        <v>0</v>
      </c>
      <c r="M221" s="161">
        <f t="shared" si="74"/>
        <v>0</v>
      </c>
      <c r="N221" s="161">
        <f t="shared" si="74"/>
        <v>0</v>
      </c>
      <c r="O221" s="160">
        <f t="shared" si="72"/>
        <v>0</v>
      </c>
      <c r="P221" s="160">
        <f t="shared" si="73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5">L224+L228</f>
        <v>19295</v>
      </c>
      <c r="M222" s="161">
        <f t="shared" ca="1" si="75"/>
        <v>19295</v>
      </c>
      <c r="N222" s="161">
        <f t="shared" ca="1" si="75"/>
        <v>19295</v>
      </c>
      <c r="O222" s="160">
        <f t="shared" ca="1" si="72"/>
        <v>100</v>
      </c>
      <c r="P222" s="160">
        <f t="shared" ca="1" si="73"/>
        <v>100</v>
      </c>
    </row>
    <row r="223" spans="1:16" ht="21.75" customHeight="1" x14ac:dyDescent="0.3">
      <c r="A223" s="162"/>
      <c r="B223" s="163"/>
      <c r="C223" s="163" t="s">
        <v>16</v>
      </c>
      <c r="D223" s="574" t="s">
        <v>20</v>
      </c>
      <c r="E223" s="575"/>
      <c r="F223" s="575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19295</v>
      </c>
      <c r="M224" s="173">
        <f ca="1">IFERROR(__xludf.DUMMYFUNCTION("IMPORTRANGE(""https://docs.google.com/spreadsheets/d/1Yj_ptqi66GCucihVvJfMjLAmec39IyEx_6qawtMGysU/edit?usp=sharing"",""สบก!BS88"")"),19295)</f>
        <v>19295</v>
      </c>
      <c r="N224" s="174">
        <f ca="1">IFERROR(__xludf.DUMMYFUNCTION("IMPORTRANGE(""https://docs.google.com/spreadsheets/d/1Yj_ptqi66GCucihVvJfMjLAmec39IyEx_6qawtMGysU/edit?usp=sharing"",""สบก!BT88"")"),19295)</f>
        <v>19295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IFERROR(__xludf.DUMMYFUNCTION("IMPORTRANGE(""https://docs.google.com/spreadsheets/d/1Yj_ptqi66GCucihVvJfMjLAmec39IyEx_6qawtMGysU/edit?usp=sharing"",""สบก!BO88"")"),0)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IFERROR(__xludf.DUMMYFUNCTION("IMPORTRANGE(""https://docs.google.com/spreadsheets/d/1Yj_ptqi66GCucihVvJfMjLAmec39IyEx_6qawtMGysU/edit?usp=sharing"",""สบก!BP88"")"),19295)</f>
        <v>19295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6" t="s">
        <v>23</v>
      </c>
      <c r="E227" s="575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IFERROR(__xludf.DUMMYFUNCTION("IMPORTRANGE(""https://docs.google.com/spreadsheets/d/1Yj_ptqi66GCucihVvJfMjLAmec39IyEx_6qawtMGysU/edit?usp=sharing"",""สบก!BQ88"")"),0)</f>
        <v>0</v>
      </c>
      <c r="M228" s="101"/>
      <c r="N228" s="91">
        <f ca="1">IFERROR(__xludf.DUMMYFUNCTION("IMPORTRANGE(""https://docs.google.com/spreadsheets/d/1Yj_ptqi66GCucihVvJfMjLAmec39IyEx_6qawtMGysU/edit?usp=sharing"",""สบก!BU88"")"),0)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IFERROR(__xludf.DUMMYFUNCTION("IMPORTRANGE(""https://docs.google.com/spreadsheets/d/1IYY_tgx_IHuhSq3AJ5eI5OnqOPBNLWSHKh2a30DoXe8/edit?usp=sharing"",""พัทลุง!I149"")"),13)</f>
        <v>13</v>
      </c>
      <c r="J229" s="273">
        <f ca="1">IFERROR(__xludf.DUMMYFUNCTION("IMPORTRANGE(""https://docs.google.com/spreadsheets/d/1IYY_tgx_IHuhSq3AJ5eI5OnqOPBNLWSHKh2a30DoXe8/edit?usp=sharing"",""พัทลุง!J149"")"),13)</f>
        <v>13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IFERROR(__xludf.DUMMYFUNCTION("IMPORTRANGE(""https://docs.google.com/spreadsheets/d/1IYY_tgx_IHuhSq3AJ5eI5OnqOPBNLWSHKh2a30DoXe8/edit?usp=sharing"",""พัทลุง!J151"")"),0)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IFERROR(__xludf.DUMMYFUNCTION("IMPORTRANGE(""https://docs.google.com/spreadsheets/d/1IYY_tgx_IHuhSq3AJ5eI5OnqOPBNLWSHKh2a30DoXe8/edit?usp=sharing"",""พัทลุง!J152"")"),1)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IFERROR(__xludf.DUMMYFUNCTION("IMPORTRANGE(""https://docs.google.com/spreadsheets/d/1IYY_tgx_IHuhSq3AJ5eI5OnqOPBNLWSHKh2a30DoXe8/edit?usp=sharing"",""พัทลุง!J153"")"),1)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IFERROR(__xludf.DUMMYFUNCTION("IMPORTRANGE(""https://docs.google.com/spreadsheets/d/1IYY_tgx_IHuhSq3AJ5eI5OnqOPBNLWSHKh2a30DoXe8/edit?usp=sharing"",""พัทลุง!J154"")"),1)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IFERROR(__xludf.DUMMYFUNCTION("IMPORTRANGE(""https://docs.google.com/spreadsheets/d/1IYY_tgx_IHuhSq3AJ5eI5OnqOPBNLWSHKh2a30DoXe8/edit?usp=sharing"",""พัทลุง!I155"")"),13)</f>
        <v>13</v>
      </c>
      <c r="J235" s="195">
        <f ca="1">IFERROR(__xludf.DUMMYFUNCTION("IMPORTRANGE(""https://docs.google.com/spreadsheets/d/1IYY_tgx_IHuhSq3AJ5eI5OnqOPBNLWSHKh2a30DoXe8/edit?usp=sharing"",""พัทลุง!J155"")"),13)</f>
        <v>13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IFERROR(__xludf.DUMMYFUNCTION("IMPORTRANGE(""https://docs.google.com/spreadsheets/d/1IYY_tgx_IHuhSq3AJ5eI5OnqOPBNLWSHKh2a30DoXe8/edit?usp=sharing"",""พัทลุง!J156"")"),1)</f>
        <v>1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IFERROR(__xludf.DUMMYFUNCTION("IMPORTRANGE(""https://docs.google.com/spreadsheets/d/1IYY_tgx_IHuhSq3AJ5eI5OnqOPBNLWSHKh2a30DoXe8/edit?usp=sharing"",""พัทลุง!J157"")"),1)</f>
        <v>1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IFERROR(__xludf.DUMMYFUNCTION("IMPORTRANGE(""https://docs.google.com/spreadsheets/d/1IYY_tgx_IHuhSq3AJ5eI5OnqOPBNLWSHKh2a30DoXe8/edit?usp=sharing"",""พัทลุง!I158"")"),0)</f>
        <v>0</v>
      </c>
      <c r="J238" s="273">
        <f ca="1">IFERROR(__xludf.DUMMYFUNCTION("IMPORTRANGE(""https://docs.google.com/spreadsheets/d/1IYY_tgx_IHuhSq3AJ5eI5OnqOPBNLWSHKh2a30DoXe8/edit?usp=sharing"",""พัทลุง!J158"")"),0)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IFERROR(__xludf.DUMMYFUNCTION("IMPORTRANGE(""https://docs.google.com/spreadsheets/d/1IYY_tgx_IHuhSq3AJ5eI5OnqOPBNLWSHKh2a30DoXe8/edit?usp=sharing"",""พัทลุง!J159"")"),"")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IFERROR(__xludf.DUMMYFUNCTION("IMPORTRANGE(""https://docs.google.com/spreadsheets/d/1IYY_tgx_IHuhSq3AJ5eI5OnqOPBNLWSHKh2a30DoXe8/edit?usp=sharing"",""พัทลุง!J161"")"),0)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IFERROR(__xludf.DUMMYFUNCTION("IMPORTRANGE(""https://docs.google.com/spreadsheets/d/1IYY_tgx_IHuhSq3AJ5eI5OnqOPBNLWSHKh2a30DoXe8/edit?usp=sharing"",""พัทลุง!J162"")"),0)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IFERROR(__xludf.DUMMYFUNCTION("IMPORTRANGE(""https://docs.google.com/spreadsheets/d/1IYY_tgx_IHuhSq3AJ5eI5OnqOPBNLWSHKh2a30DoXe8/edit?usp=sharing"",""พัทลุง!J163"")"),0)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IFERROR(__xludf.DUMMYFUNCTION("IMPORTRANGE(""https://docs.google.com/spreadsheets/d/1IYY_tgx_IHuhSq3AJ5eI5OnqOPBNLWSHKh2a30DoXe8/edit?usp=sharing"",""พัทลุง!I164"")"),0)</f>
        <v>0</v>
      </c>
      <c r="J244" s="194">
        <f ca="1">IFERROR(__xludf.DUMMYFUNCTION("IMPORTRANGE(""https://docs.google.com/spreadsheets/d/1IYY_tgx_IHuhSq3AJ5eI5OnqOPBNLWSHKh2a30DoXe8/edit?usp=sharing"",""พัทลุง!J164"")"),0)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IFERROR(__xludf.DUMMYFUNCTION("IMPORTRANGE(""https://docs.google.com/spreadsheets/d/1IYY_tgx_IHuhSq3AJ5eI5OnqOPBNLWSHKh2a30DoXe8/edit?usp=sharing"",""พัทลุง!J165"")"),0)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IFERROR(__xludf.DUMMYFUNCTION("IMPORTRANGE(""https://docs.google.com/spreadsheets/d/1IYY_tgx_IHuhSq3AJ5eI5OnqOPBNLWSHKh2a30DoXe8/edit?usp=sharing"",""พัทลุง!J166"")"),0)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IFERROR(__xludf.DUMMYFUNCTION("IMPORTRANGE(""https://docs.google.com/spreadsheets/d/1IYY_tgx_IHuhSq3AJ5eI5OnqOPBNLWSHKh2a30DoXe8/edit?usp=sharing"",""พัทลุง!I169"")"),20)</f>
        <v>20</v>
      </c>
      <c r="J249" s="322">
        <f ca="1">IFERROR(__xludf.DUMMYFUNCTION("IMPORTRANGE(""https://docs.google.com/spreadsheets/d/1IYY_tgx_IHuhSq3AJ5eI5OnqOPBNLWSHKh2a30DoXe8/edit?usp=sharing"",""พัทลุง!J169"")"),20)</f>
        <v>20</v>
      </c>
      <c r="K249" s="323">
        <f ca="1">IF(I249&gt;0,J249*100/I249,0)</f>
        <v>100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2" t="s">
        <v>17</v>
      </c>
      <c r="E250" s="573"/>
      <c r="F250" s="573"/>
      <c r="G250" s="573"/>
      <c r="H250" s="153" t="s">
        <v>12</v>
      </c>
      <c r="I250" s="166"/>
      <c r="J250" s="166"/>
      <c r="K250" s="167"/>
      <c r="L250" s="156">
        <f t="shared" ref="L250:N250" ca="1" si="76">L251+L252</f>
        <v>203400</v>
      </c>
      <c r="M250" s="156">
        <f t="shared" ca="1" si="76"/>
        <v>203400</v>
      </c>
      <c r="N250" s="156">
        <f t="shared" ca="1" si="76"/>
        <v>190400.8</v>
      </c>
      <c r="O250" s="155">
        <f t="shared" ref="O250:O252" ca="1" si="77">IF(L250&gt;0,N250*100/L250,0)</f>
        <v>93.609046214355942</v>
      </c>
      <c r="P250" s="155">
        <f t="shared" ref="P250:P252" ca="1" si="78">IF(M250&gt;0,N250*100/M250,0)</f>
        <v>93.609046214355942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79">L253+L257</f>
        <v>0</v>
      </c>
      <c r="M251" s="161">
        <f t="shared" si="79"/>
        <v>0</v>
      </c>
      <c r="N251" s="161">
        <f t="shared" si="79"/>
        <v>0</v>
      </c>
      <c r="O251" s="160">
        <f t="shared" si="77"/>
        <v>0</v>
      </c>
      <c r="P251" s="160">
        <f t="shared" si="78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0">L254+L258</f>
        <v>203400</v>
      </c>
      <c r="M252" s="161">
        <f t="shared" ca="1" si="80"/>
        <v>203400</v>
      </c>
      <c r="N252" s="161">
        <f t="shared" ca="1" si="80"/>
        <v>190400.8</v>
      </c>
      <c r="O252" s="160">
        <f t="shared" ca="1" si="77"/>
        <v>93.609046214355942</v>
      </c>
      <c r="P252" s="160">
        <f t="shared" ca="1" si="78"/>
        <v>93.609046214355942</v>
      </c>
    </row>
    <row r="253" spans="1:16" ht="21.75" customHeight="1" x14ac:dyDescent="0.3">
      <c r="A253" s="162"/>
      <c r="B253" s="163"/>
      <c r="C253" s="163" t="s">
        <v>16</v>
      </c>
      <c r="D253" s="574" t="s">
        <v>20</v>
      </c>
      <c r="E253" s="575"/>
      <c r="F253" s="575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203400</v>
      </c>
      <c r="M254" s="173">
        <f ca="1">IFERROR(__xludf.DUMMYFUNCTION("IMPORTRANGE(""https://docs.google.com/spreadsheets/d/1Yj_ptqi66GCucihVvJfMjLAmec39IyEx_6qawtMGysU/edit?usp=sharing"",""สบก!CB88"")"),203400)</f>
        <v>203400</v>
      </c>
      <c r="N254" s="174">
        <f ca="1">IFERROR(__xludf.DUMMYFUNCTION("IMPORTRANGE(""https://docs.google.com/spreadsheets/d/1Yj_ptqi66GCucihVvJfMjLAmec39IyEx_6qawtMGysU/edit?usp=sharing"",""สบก!CC88"")"),190400.8)</f>
        <v>190400.8</v>
      </c>
      <c r="O254" s="175">
        <f ca="1">IF(L254&gt;0,N254*100/L254,0)</f>
        <v>93.609046214355942</v>
      </c>
      <c r="P254" s="175">
        <f ca="1">IF(M254&gt;0,N254*100/M254,0)</f>
        <v>93.609046214355942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IFERROR(__xludf.DUMMYFUNCTION("IMPORTRANGE(""https://docs.google.com/spreadsheets/d/1Yj_ptqi66GCucihVvJfMjLAmec39IyEx_6qawtMGysU/edit?usp=sharing"",""สบก!BX88"")"),132000)</f>
        <v>132000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IFERROR(__xludf.DUMMYFUNCTION("IMPORTRANGE(""https://docs.google.com/spreadsheets/d/1Yj_ptqi66GCucihVvJfMjLAmec39IyEx_6qawtMGysU/edit?usp=sharing"",""สบก!BY88"")"),71400)</f>
        <v>71400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6" t="s">
        <v>23</v>
      </c>
      <c r="E257" s="575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IFERROR(__xludf.DUMMYFUNCTION("IMPORTRANGE(""https://docs.google.com/spreadsheets/d/1Yj_ptqi66GCucihVvJfMjLAmec39IyEx_6qawtMGysU/edit?usp=sharing"",""สบก!BZ88"")"),0)</f>
        <v>0</v>
      </c>
      <c r="M258" s="101"/>
      <c r="N258" s="91">
        <f ca="1">IFERROR(__xludf.DUMMYFUNCTION("IMPORTRANGE(""https://docs.google.com/spreadsheets/d/1Yj_ptqi66GCucihVvJfMjLAmec39IyEx_6qawtMGysU/edit?usp=sharing"",""สบก!CD88"")"),0)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IFERROR(__xludf.DUMMYFUNCTION("IMPORTRANGE(""https://docs.google.com/spreadsheets/d/1IYY_tgx_IHuhSq3AJ5eI5OnqOPBNLWSHKh2a30DoXe8/edit?usp=sharing"",""พัทลุง!J175"")"),0)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IFERROR(__xludf.DUMMYFUNCTION("IMPORTRANGE(""https://docs.google.com/spreadsheets/d/1IYY_tgx_IHuhSq3AJ5eI5OnqOPBNLWSHKh2a30DoXe8/edit?usp=sharing"",""พัทลุง!J176"")"),1)</f>
        <v>1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IFERROR(__xludf.DUMMYFUNCTION("IMPORTRANGE(""https://docs.google.com/spreadsheets/d/1IYY_tgx_IHuhSq3AJ5eI5OnqOPBNLWSHKh2a30DoXe8/edit?usp=sharing"",""พัทลุง!J177"")"),1)</f>
        <v>1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IFERROR(__xludf.DUMMYFUNCTION("IMPORTRANGE(""https://docs.google.com/spreadsheets/d/1IYY_tgx_IHuhSq3AJ5eI5OnqOPBNLWSHKh2a30DoXe8/edit?usp=sharing"",""พัทลุง!J178"")"),1)</f>
        <v>1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IFERROR(__xludf.DUMMYFUNCTION("IMPORTRANGE(""https://docs.google.com/spreadsheets/d/1IYY_tgx_IHuhSq3AJ5eI5OnqOPBNLWSHKh2a30DoXe8/edit?usp=sharing"",""พัทลุง!I179"")"),1)</f>
        <v>1</v>
      </c>
      <c r="J264" s="195">
        <f ca="1">IFERROR(__xludf.DUMMYFUNCTION("IMPORTRANGE(""https://docs.google.com/spreadsheets/d/1IYY_tgx_IHuhSq3AJ5eI5OnqOPBNLWSHKh2a30DoXe8/edit?usp=sharing"",""พัทลุง!J179"")"),1)</f>
        <v>1</v>
      </c>
      <c r="K264" s="167">
        <f t="shared" ref="K264:K267" ca="1" si="81">IF(I264&gt;0,J264*100/I264,0)</f>
        <v>100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IFERROR(__xludf.DUMMYFUNCTION("IMPORTRANGE(""https://docs.google.com/spreadsheets/d/1IYY_tgx_IHuhSq3AJ5eI5OnqOPBNLWSHKh2a30DoXe8/edit?usp=sharing"",""พัทลุง!I180"")"),20)</f>
        <v>20</v>
      </c>
      <c r="J265" s="195">
        <f ca="1">IFERROR(__xludf.DUMMYFUNCTION("IMPORTRANGE(""https://docs.google.com/spreadsheets/d/1IYY_tgx_IHuhSq3AJ5eI5OnqOPBNLWSHKh2a30DoXe8/edit?usp=sharing"",""พัทลุง!J180"")"),20)</f>
        <v>20</v>
      </c>
      <c r="K265" s="167">
        <f t="shared" ca="1" si="81"/>
        <v>100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IFERROR(__xludf.DUMMYFUNCTION("IMPORTRANGE(""https://docs.google.com/spreadsheets/d/1IYY_tgx_IHuhSq3AJ5eI5OnqOPBNLWSHKh2a30DoXe8/edit?usp=sharing"",""พัทลุง!I181"")"),20)</f>
        <v>20</v>
      </c>
      <c r="J266" s="195">
        <f ca="1">IFERROR(__xludf.DUMMYFUNCTION("IMPORTRANGE(""https://docs.google.com/spreadsheets/d/1IYY_tgx_IHuhSq3AJ5eI5OnqOPBNLWSHKh2a30DoXe8/edit?usp=sharing"",""พัทลุง!J181"")"),20)</f>
        <v>20</v>
      </c>
      <c r="K266" s="167">
        <f t="shared" ca="1" si="81"/>
        <v>100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IFERROR(__xludf.DUMMYFUNCTION("IMPORTRANGE(""https://docs.google.com/spreadsheets/d/1IYY_tgx_IHuhSq3AJ5eI5OnqOPBNLWSHKh2a30DoXe8/edit?usp=sharing"",""พัทลุง!I182"")"),1)</f>
        <v>1</v>
      </c>
      <c r="J267" s="195">
        <f ca="1">IFERROR(__xludf.DUMMYFUNCTION("IMPORTRANGE(""https://docs.google.com/spreadsheets/d/1IYY_tgx_IHuhSq3AJ5eI5OnqOPBNLWSHKh2a30DoXe8/edit?usp=sharing"",""พัทลุง!J182"")"),1)</f>
        <v>1</v>
      </c>
      <c r="K267" s="167">
        <f t="shared" ca="1" si="81"/>
        <v>100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IFERROR(__xludf.DUMMYFUNCTION("IMPORTRANGE(""https://docs.google.com/spreadsheets/d/1IYY_tgx_IHuhSq3AJ5eI5OnqOPBNLWSHKh2a30DoXe8/edit?usp=sharing"",""พัทลุง!J183"")"),1)</f>
        <v>1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IFERROR(__xludf.DUMMYFUNCTION("IMPORTRANGE(""https://docs.google.com/spreadsheets/d/1IYY_tgx_IHuhSq3AJ5eI5OnqOPBNLWSHKh2a30DoXe8/edit?usp=sharing"",""พัทลุง!J184"")"),1)</f>
        <v>1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IFERROR(__xludf.DUMMYFUNCTION("IMPORTRANGE(""https://docs.google.com/spreadsheets/d/1IYY_tgx_IHuhSq3AJ5eI5OnqOPBNLWSHKh2a30DoXe8/edit?usp=sharing"",""พัทลุง!I185"")"),0)</f>
        <v>0</v>
      </c>
      <c r="J270" s="322">
        <f ca="1">IFERROR(__xludf.DUMMYFUNCTION("IMPORTRANGE(""https://docs.google.com/spreadsheets/d/1IYY_tgx_IHuhSq3AJ5eI5OnqOPBNLWSHKh2a30DoXe8/edit?usp=sharing"",""พัทลุง!J185"")"),0)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2" t="s">
        <v>17</v>
      </c>
      <c r="E271" s="573"/>
      <c r="F271" s="573"/>
      <c r="G271" s="573"/>
      <c r="H271" s="153" t="s">
        <v>12</v>
      </c>
      <c r="I271" s="166"/>
      <c r="J271" s="166"/>
      <c r="K271" s="167"/>
      <c r="L271" s="156">
        <f t="shared" ref="L271:N271" ca="1" si="82">L272+L273</f>
        <v>0</v>
      </c>
      <c r="M271" s="156">
        <f t="shared" ca="1" si="82"/>
        <v>0</v>
      </c>
      <c r="N271" s="156">
        <f t="shared" ca="1" si="82"/>
        <v>0</v>
      </c>
      <c r="O271" s="155">
        <f t="shared" ref="O271:O273" ca="1" si="83">IF(L271&gt;0,N271*100/L271,0)</f>
        <v>0</v>
      </c>
      <c r="P271" s="155">
        <f t="shared" ref="P271:P273" ca="1" si="84">IF(M271&gt;0,N271*100/M271,0)</f>
        <v>0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5">L274+L278</f>
        <v>0</v>
      </c>
      <c r="M272" s="161">
        <f t="shared" si="85"/>
        <v>0</v>
      </c>
      <c r="N272" s="161">
        <f t="shared" si="85"/>
        <v>0</v>
      </c>
      <c r="O272" s="160">
        <f t="shared" si="83"/>
        <v>0</v>
      </c>
      <c r="P272" s="160">
        <f t="shared" si="84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6">L275+L279</f>
        <v>0</v>
      </c>
      <c r="M273" s="161">
        <f t="shared" ca="1" si="86"/>
        <v>0</v>
      </c>
      <c r="N273" s="161">
        <f t="shared" ca="1" si="86"/>
        <v>0</v>
      </c>
      <c r="O273" s="160">
        <f t="shared" ca="1" si="83"/>
        <v>0</v>
      </c>
      <c r="P273" s="160">
        <f t="shared" ca="1" si="84"/>
        <v>0</v>
      </c>
    </row>
    <row r="274" spans="1:16" ht="21.75" customHeight="1" x14ac:dyDescent="0.3">
      <c r="A274" s="162"/>
      <c r="B274" s="163"/>
      <c r="C274" s="163" t="s">
        <v>16</v>
      </c>
      <c r="D274" s="574" t="s">
        <v>20</v>
      </c>
      <c r="E274" s="575"/>
      <c r="F274" s="575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0</v>
      </c>
      <c r="M275" s="173">
        <f ca="1">IFERROR(__xludf.DUMMYFUNCTION("IMPORTRANGE(""https://docs.google.com/spreadsheets/d/1Yj_ptqi66GCucihVvJfMjLAmec39IyEx_6qawtMGysU/edit?usp=sharing"",""สบก!CK88"")"),0)</f>
        <v>0</v>
      </c>
      <c r="N275" s="174">
        <f ca="1">IFERROR(__xludf.DUMMYFUNCTION("IMPORTRANGE(""https://docs.google.com/spreadsheets/d/1Yj_ptqi66GCucihVvJfMjLAmec39IyEx_6qawtMGysU/edit?usp=sharing"",""สบก!CL88"")"),0)</f>
        <v>0</v>
      </c>
      <c r="O275" s="175">
        <f ca="1">IF(L275&gt;0,N275*100/L275,0)</f>
        <v>0</v>
      </c>
      <c r="P275" s="175">
        <f ca="1">IF(M275&gt;0,N275*100/M275,0)</f>
        <v>0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IFERROR(__xludf.DUMMYFUNCTION("IMPORTRANGE(""https://docs.google.com/spreadsheets/d/1Yj_ptqi66GCucihVvJfMjLAmec39IyEx_6qawtMGysU/edit?usp=sharing"",""สบก!CG88"")"),0)</f>
        <v>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IFERROR(__xludf.DUMMYFUNCTION("IMPORTRANGE(""https://docs.google.com/spreadsheets/d/1Yj_ptqi66GCucihVvJfMjLAmec39IyEx_6qawtMGysU/edit?usp=sharing"",""สบก!CH88"")"),0)</f>
        <v>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6" t="s">
        <v>23</v>
      </c>
      <c r="E278" s="575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IFERROR(__xludf.DUMMYFUNCTION("IMPORTRANGE(""https://docs.google.com/spreadsheets/d/1Yj_ptqi66GCucihVvJfMjLAmec39IyEx_6qawtMGysU/edit?usp=sharing"",""สบก!CI88"")"),0)</f>
        <v>0</v>
      </c>
      <c r="M279" s="101"/>
      <c r="N279" s="91">
        <f ca="1">IFERROR(__xludf.DUMMYFUNCTION("IMPORTRANGE(""https://docs.google.com/spreadsheets/d/1Yj_ptqi66GCucihVvJfMjLAmec39IyEx_6qawtMGysU/edit?usp=sharing"",""สบก!CM88"")"),0)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IFERROR(__xludf.DUMMYFUNCTION("IMPORTRANGE(""https://docs.google.com/spreadsheets/d/1IYY_tgx_IHuhSq3AJ5eI5OnqOPBNLWSHKh2a30DoXe8/edit?usp=sharing"",""พัทลุง!J191"")"),0)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IFERROR(__xludf.DUMMYFUNCTION("IMPORTRANGE(""https://docs.google.com/spreadsheets/d/1IYY_tgx_IHuhSq3AJ5eI5OnqOPBNLWSHKh2a30DoXe8/edit?usp=sharing"",""พัทลุง!J192"")"),0)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IFERROR(__xludf.DUMMYFUNCTION("IMPORTRANGE(""https://docs.google.com/spreadsheets/d/1IYY_tgx_IHuhSq3AJ5eI5OnqOPBNLWSHKh2a30DoXe8/edit?usp=sharing"",""พัทลุง!J193"")"),0)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IFERROR(__xludf.DUMMYFUNCTION("IMPORTRANGE(""https://docs.google.com/spreadsheets/d/1IYY_tgx_IHuhSq3AJ5eI5OnqOPBNLWSHKh2a30DoXe8/edit?usp=sharing"",""พัทลุง!J194"")"),0)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IFERROR(__xludf.DUMMYFUNCTION("IMPORTRANGE(""https://docs.google.com/spreadsheets/d/1IYY_tgx_IHuhSq3AJ5eI5OnqOPBNLWSHKh2a30DoXe8/edit?usp=sharing"",""พัทลุง!I195"")"),0)</f>
        <v>0</v>
      </c>
      <c r="J285" s="195">
        <f ca="1">IFERROR(__xludf.DUMMYFUNCTION("IMPORTRANGE(""https://docs.google.com/spreadsheets/d/1IYY_tgx_IHuhSq3AJ5eI5OnqOPBNLWSHKh2a30DoXe8/edit?usp=sharing"",""พัทลุง!J195"")"),0)</f>
        <v>0</v>
      </c>
      <c r="K285" s="167">
        <f ca="1">IF(I285&gt;0,J285*100/I285,0)</f>
        <v>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IFERROR(__xludf.DUMMYFUNCTION("IMPORTRANGE(""https://docs.google.com/spreadsheets/d/1IYY_tgx_IHuhSq3AJ5eI5OnqOPBNLWSHKh2a30DoXe8/edit?usp=sharing"",""พัทลุง!J196"")"),0)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IFERROR(__xludf.DUMMYFUNCTION("IMPORTRANGE(""https://docs.google.com/spreadsheets/d/1IYY_tgx_IHuhSq3AJ5eI5OnqOPBNLWSHKh2a30DoXe8/edit?usp=sharing"",""พัทลุง!J197"")"),0)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IFERROR(__xludf.DUMMYFUNCTION("IMPORTRANGE(""https://docs.google.com/spreadsheets/d/1IYY_tgx_IHuhSq3AJ5eI5OnqOPBNLWSHKh2a30DoXe8/edit?usp=sharing"",""พัทลุง!I199"")"),0)</f>
        <v>0</v>
      </c>
      <c r="J289" s="322">
        <f ca="1">IFERROR(__xludf.DUMMYFUNCTION("IMPORTRANGE(""https://docs.google.com/spreadsheets/d/1IYY_tgx_IHuhSq3AJ5eI5OnqOPBNLWSHKh2a30DoXe8/edit?usp=sharing"",""พัทลุง!J199"")"),0)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2" t="s">
        <v>17</v>
      </c>
      <c r="E290" s="573"/>
      <c r="F290" s="573"/>
      <c r="G290" s="573"/>
      <c r="H290" s="153" t="s">
        <v>12</v>
      </c>
      <c r="I290" s="194"/>
      <c r="J290" s="194"/>
      <c r="K290" s="230"/>
      <c r="L290" s="156">
        <f t="shared" ref="L290:N290" ca="1" si="87">L291+L292</f>
        <v>0</v>
      </c>
      <c r="M290" s="156">
        <f t="shared" ca="1" si="87"/>
        <v>0</v>
      </c>
      <c r="N290" s="156">
        <f t="shared" ca="1" si="87"/>
        <v>0</v>
      </c>
      <c r="O290" s="155">
        <f t="shared" ref="O290:O292" ca="1" si="88">IF(L290&gt;0,N290*100/L290,0)</f>
        <v>0</v>
      </c>
      <c r="P290" s="155">
        <f t="shared" ref="P290:P292" ca="1" si="89">IF(M290&gt;0,N290*100/M290,0)</f>
        <v>0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0">L293+L297</f>
        <v>0</v>
      </c>
      <c r="M291" s="161">
        <f t="shared" si="90"/>
        <v>0</v>
      </c>
      <c r="N291" s="161">
        <f t="shared" si="90"/>
        <v>0</v>
      </c>
      <c r="O291" s="160">
        <f t="shared" si="88"/>
        <v>0</v>
      </c>
      <c r="P291" s="160">
        <f t="shared" si="89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1">L294+L298</f>
        <v>0</v>
      </c>
      <c r="M292" s="161">
        <f t="shared" ca="1" si="91"/>
        <v>0</v>
      </c>
      <c r="N292" s="161">
        <f t="shared" ca="1" si="91"/>
        <v>0</v>
      </c>
      <c r="O292" s="160">
        <f t="shared" ca="1" si="88"/>
        <v>0</v>
      </c>
      <c r="P292" s="160">
        <f t="shared" ca="1" si="89"/>
        <v>0</v>
      </c>
    </row>
    <row r="293" spans="1:16" ht="21.75" customHeight="1" x14ac:dyDescent="0.3">
      <c r="A293" s="162"/>
      <c r="B293" s="163"/>
      <c r="C293" s="163" t="s">
        <v>16</v>
      </c>
      <c r="D293" s="574" t="s">
        <v>20</v>
      </c>
      <c r="E293" s="575"/>
      <c r="F293" s="575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IFERROR(__xludf.DUMMYFUNCTION("IMPORTRANGE(""https://docs.google.com/spreadsheets/d/1Yj_ptqi66GCucihVvJfMjLAmec39IyEx_6qawtMGysU/edit?usp=sharing"",""สบก!CT88"")"),0)</f>
        <v>0</v>
      </c>
      <c r="N294" s="174">
        <f ca="1">IFERROR(__xludf.DUMMYFUNCTION("IMPORTRANGE(""https://docs.google.com/spreadsheets/d/1Yj_ptqi66GCucihVvJfMjLAmec39IyEx_6qawtMGysU/edit?usp=sharing"",""สบก!CU88"")"),0)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IFERROR(__xludf.DUMMYFUNCTION("IMPORTRANGE(""https://docs.google.com/spreadsheets/d/1Yj_ptqi66GCucihVvJfMjLAmec39IyEx_6qawtMGysU/edit?usp=sharing"",""สบก!CP88"")"),0)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IFERROR(__xludf.DUMMYFUNCTION("IMPORTRANGE(""https://docs.google.com/spreadsheets/d/1Yj_ptqi66GCucihVvJfMjLAmec39IyEx_6qawtMGysU/edit?usp=sharing"",""สบก!CQ88"")"),0)</f>
        <v>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6" t="s">
        <v>23</v>
      </c>
      <c r="E297" s="575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IFERROR(__xludf.DUMMYFUNCTION("IMPORTRANGE(""https://docs.google.com/spreadsheets/d/1Yj_ptqi66GCucihVvJfMjLAmec39IyEx_6qawtMGysU/edit?usp=sharing"",""สบก!CR88"")"),0)</f>
        <v>0</v>
      </c>
      <c r="M298" s="101"/>
      <c r="N298" s="91">
        <f ca="1">IFERROR(__xludf.DUMMYFUNCTION("IMPORTRANGE(""https://docs.google.com/spreadsheets/d/1Yj_ptqi66GCucihVvJfMjLAmec39IyEx_6qawtMGysU/edit?usp=sharing"",""สบก!CV88"")"),0)</f>
        <v>0</v>
      </c>
      <c r="O298" s="101">
        <f ca="1">IF(L298&gt;0,N298*100/L298,0)</f>
        <v>0</v>
      </c>
      <c r="P298" s="101"/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IFERROR(__xludf.DUMMYFUNCTION("IMPORTRANGE(""https://docs.google.com/spreadsheets/d/1IYY_tgx_IHuhSq3AJ5eI5OnqOPBNLWSHKh2a30DoXe8/edit?usp=sharing"",""พัทลุง!J205"")"),0)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IFERROR(__xludf.DUMMYFUNCTION("IMPORTRANGE(""https://docs.google.com/spreadsheets/d/1IYY_tgx_IHuhSq3AJ5eI5OnqOPBNLWSHKh2a30DoXe8/edit?usp=sharing"",""พัทลุง!J206"")"),0)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IFERROR(__xludf.DUMMYFUNCTION("IMPORTRANGE(""https://docs.google.com/spreadsheets/d/1IYY_tgx_IHuhSq3AJ5eI5OnqOPBNLWSHKh2a30DoXe8/edit?usp=sharing"",""พัทลุง!J207"")"),0)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IFERROR(__xludf.DUMMYFUNCTION("IMPORTRANGE(""https://docs.google.com/spreadsheets/d/1IYY_tgx_IHuhSq3AJ5eI5OnqOPBNLWSHKh2a30DoXe8/edit?usp=sharing"",""พัทลุง!J208"")"),0)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IFERROR(__xludf.DUMMYFUNCTION("IMPORTRANGE(""https://docs.google.com/spreadsheets/d/1IYY_tgx_IHuhSq3AJ5eI5OnqOPBNLWSHKh2a30DoXe8/edit?usp=sharing"",""พัทลุง!I209"")"),0)</f>
        <v>0</v>
      </c>
      <c r="J304" s="210">
        <f ca="1">IFERROR(__xludf.DUMMYFUNCTION("IMPORTRANGE(""https://docs.google.com/spreadsheets/d/1IYY_tgx_IHuhSq3AJ5eI5OnqOPBNLWSHKh2a30DoXe8/edit?usp=sharing"",""พัทลุง!J209"")"),0)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IFERROR(__xludf.DUMMYFUNCTION("IMPORTRANGE(""https://docs.google.com/spreadsheets/d/1IYY_tgx_IHuhSq3AJ5eI5OnqOPBNLWSHKh2a30DoXe8/edit?usp=sharing"",""พัทลุง!I211"")"),0)</f>
        <v>0</v>
      </c>
      <c r="J306" s="210">
        <f ca="1">IFERROR(__xludf.DUMMYFUNCTION("IMPORTRANGE(""https://docs.google.com/spreadsheets/d/1IYY_tgx_IHuhSq3AJ5eI5OnqOPBNLWSHKh2a30DoXe8/edit?usp=sharing"",""พัทลุง!J211"")"),0)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IFERROR(__xludf.DUMMYFUNCTION("IMPORTRANGE(""https://docs.google.com/spreadsheets/d/1IYY_tgx_IHuhSq3AJ5eI5OnqOPBNLWSHKh2a30DoXe8/edit?usp=sharing"",""พัทลุง!J212"")"),0)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IFERROR(__xludf.DUMMYFUNCTION("IMPORTRANGE(""https://docs.google.com/spreadsheets/d/1IYY_tgx_IHuhSq3AJ5eI5OnqOPBNLWSHKh2a30DoXe8/edit?usp=sharing"",""พัทลุง!J213"")"),0)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IFERROR(__xludf.DUMMYFUNCTION("IMPORTRANGE(""https://docs.google.com/spreadsheets/d/1IYY_tgx_IHuhSq3AJ5eI5OnqOPBNLWSHKh2a30DoXe8/edit?usp=sharing"",""พัทลุง!I214"")"),0)</f>
        <v>0</v>
      </c>
      <c r="J309" s="339">
        <f ca="1">IFERROR(__xludf.DUMMYFUNCTION("IMPORTRANGE(""https://docs.google.com/spreadsheets/d/1IYY_tgx_IHuhSq3AJ5eI5OnqOPBNLWSHKh2a30DoXe8/edit?usp=sharing"",""พัทลุง!J214"")"),0)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2" t="s">
        <v>17</v>
      </c>
      <c r="E310" s="573"/>
      <c r="F310" s="573"/>
      <c r="G310" s="573"/>
      <c r="H310" s="153" t="s">
        <v>12</v>
      </c>
      <c r="I310" s="342"/>
      <c r="J310" s="342"/>
      <c r="K310" s="343"/>
      <c r="L310" s="156">
        <f t="shared" ref="L310:N310" ca="1" si="92">L311+L312</f>
        <v>0</v>
      </c>
      <c r="M310" s="156">
        <f t="shared" ca="1" si="92"/>
        <v>0</v>
      </c>
      <c r="N310" s="156">
        <f t="shared" ca="1" si="92"/>
        <v>0</v>
      </c>
      <c r="O310" s="155">
        <f t="shared" ref="O310:O312" ca="1" si="93">IF(L310&gt;0,N310*100/L310,0)</f>
        <v>0</v>
      </c>
      <c r="P310" s="155">
        <f t="shared" ref="P310:P312" ca="1" si="94">IF(M310&gt;0,N310*100/M310,0)</f>
        <v>0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5">L313+L317</f>
        <v>0</v>
      </c>
      <c r="M311" s="161">
        <f t="shared" si="95"/>
        <v>0</v>
      </c>
      <c r="N311" s="161">
        <f t="shared" si="95"/>
        <v>0</v>
      </c>
      <c r="O311" s="160">
        <f t="shared" si="93"/>
        <v>0</v>
      </c>
      <c r="P311" s="160">
        <f t="shared" si="94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6">L314+L318</f>
        <v>0</v>
      </c>
      <c r="M312" s="161">
        <f t="shared" ca="1" si="96"/>
        <v>0</v>
      </c>
      <c r="N312" s="161">
        <f t="shared" ca="1" si="96"/>
        <v>0</v>
      </c>
      <c r="O312" s="160">
        <f t="shared" ca="1" si="93"/>
        <v>0</v>
      </c>
      <c r="P312" s="160">
        <f t="shared" ca="1" si="94"/>
        <v>0</v>
      </c>
    </row>
    <row r="313" spans="1:16" ht="21.75" customHeight="1" x14ac:dyDescent="0.3">
      <c r="A313" s="162"/>
      <c r="B313" s="163"/>
      <c r="C313" s="163" t="s">
        <v>16</v>
      </c>
      <c r="D313" s="574" t="s">
        <v>20</v>
      </c>
      <c r="E313" s="575"/>
      <c r="F313" s="575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IFERROR(__xludf.DUMMYFUNCTION("IMPORTRANGE(""https://docs.google.com/spreadsheets/d/1Yj_ptqi66GCucihVvJfMjLAmec39IyEx_6qawtMGysU/edit?usp=sharing"",""สบก!DC88"")"),0)</f>
        <v>0</v>
      </c>
      <c r="N314" s="174">
        <f ca="1">IFERROR(__xludf.DUMMYFUNCTION("IMPORTRANGE(""https://docs.google.com/spreadsheets/d/1Yj_ptqi66GCucihVvJfMjLAmec39IyEx_6qawtMGysU/edit?usp=sharing"",""สบก!DD88"")"),0)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IFERROR(__xludf.DUMMYFUNCTION("IMPORTRANGE(""https://docs.google.com/spreadsheets/d/1Yj_ptqi66GCucihVvJfMjLAmec39IyEx_6qawtMGysU/edit?usp=sharing"",""สบก!CY88"")"),0)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IFERROR(__xludf.DUMMYFUNCTION("IMPORTRANGE(""https://docs.google.com/spreadsheets/d/1Yj_ptqi66GCucihVvJfMjLAmec39IyEx_6qawtMGysU/edit?usp=sharing"",""สบก!CZ88"")"),0)</f>
        <v>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6" t="s">
        <v>23</v>
      </c>
      <c r="E317" s="575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IFERROR(__xludf.DUMMYFUNCTION("IMPORTRANGE(""https://docs.google.com/spreadsheets/d/1Yj_ptqi66GCucihVvJfMjLAmec39IyEx_6qawtMGysU/edit?usp=sharing"",""สบก!DA88"")"),0)</f>
        <v>0</v>
      </c>
      <c r="M318" s="101"/>
      <c r="N318" s="91">
        <f ca="1">IFERROR(__xludf.DUMMYFUNCTION("IMPORTRANGE(""https://docs.google.com/spreadsheets/d/1Yj_ptqi66GCucihVvJfMjLAmec39IyEx_6qawtMGysU/edit?usp=sharing"",""สบก!DE88"")"),0)</f>
        <v>0</v>
      </c>
      <c r="O318" s="101">
        <f ca="1">IF(L318&gt;0,N318*100/L318,0)</f>
        <v>0</v>
      </c>
      <c r="P318" s="101"/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IFERROR(__xludf.DUMMYFUNCTION("IMPORTRANGE(""https://docs.google.com/spreadsheets/d/1IYY_tgx_IHuhSq3AJ5eI5OnqOPBNLWSHKh2a30DoXe8/edit?usp=sharing"",""พัทลุง!J220"")"),0)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IFERROR(__xludf.DUMMYFUNCTION("IMPORTRANGE(""https://docs.google.com/spreadsheets/d/1IYY_tgx_IHuhSq3AJ5eI5OnqOPBNLWSHKh2a30DoXe8/edit?usp=sharing"",""พัทลุง!J221"")"),0)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IFERROR(__xludf.DUMMYFUNCTION("IMPORTRANGE(""https://docs.google.com/spreadsheets/d/1IYY_tgx_IHuhSq3AJ5eI5OnqOPBNLWSHKh2a30DoXe8/edit?usp=sharing"",""พัทลุง!J222"")"),0)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IFERROR(__xludf.DUMMYFUNCTION("IMPORTRANGE(""https://docs.google.com/spreadsheets/d/1IYY_tgx_IHuhSq3AJ5eI5OnqOPBNLWSHKh2a30DoXe8/edit?usp=sharing"",""พัทลุง!J223"")"),0)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IFERROR(__xludf.DUMMYFUNCTION("IMPORTRANGE(""https://docs.google.com/spreadsheets/d/1IYY_tgx_IHuhSq3AJ5eI5OnqOPBNLWSHKh2a30DoXe8/edit?usp=sharing"",""พัทลุง!I224"")"),0)</f>
        <v>0</v>
      </c>
      <c r="J324" s="210">
        <f ca="1">IFERROR(__xludf.DUMMYFUNCTION("IMPORTRANGE(""https://docs.google.com/spreadsheets/d/1IYY_tgx_IHuhSq3AJ5eI5OnqOPBNLWSHKh2a30DoXe8/edit?usp=sharing"",""พัทลุง!J224"")"),0)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IFERROR(__xludf.DUMMYFUNCTION("IMPORTRANGE(""https://docs.google.com/spreadsheets/d/1IYY_tgx_IHuhSq3AJ5eI5OnqOPBNLWSHKh2a30DoXe8/edit?usp=sharing"",""พัทลุง!J225"")"),0)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IFERROR(__xludf.DUMMYFUNCTION("IMPORTRANGE(""https://docs.google.com/spreadsheets/d/1IYY_tgx_IHuhSq3AJ5eI5OnqOPBNLWSHKh2a30DoXe8/edit?usp=sharing"",""พัทลุง!J226"")"),0)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IFERROR(__xludf.DUMMYFUNCTION("IMPORTRANGE(""https://docs.google.com/spreadsheets/d/1IYY_tgx_IHuhSq3AJ5eI5OnqOPBNLWSHKh2a30DoXe8/edit?usp=sharing"",""พัทลุง!I228"")"),270)</f>
        <v>270</v>
      </c>
      <c r="J328" s="345">
        <f ca="1">IFERROR(__xludf.DUMMYFUNCTION("IMPORTRANGE(""https://docs.google.com/spreadsheets/d/1IYY_tgx_IHuhSq3AJ5eI5OnqOPBNLWSHKh2a30DoXe8/edit?usp=sharing"",""พัทลุง!J228"")"),289)</f>
        <v>289</v>
      </c>
      <c r="K328" s="323">
        <f ca="1">IF(I328&gt;0,J328*100/I328,0)</f>
        <v>107.03703703703704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2" t="s">
        <v>17</v>
      </c>
      <c r="E329" s="573"/>
      <c r="F329" s="573"/>
      <c r="G329" s="573"/>
      <c r="H329" s="153" t="s">
        <v>12</v>
      </c>
      <c r="I329" s="166"/>
      <c r="J329" s="166"/>
      <c r="K329" s="167"/>
      <c r="L329" s="156">
        <f t="shared" ref="L329:N329" ca="1" si="97">L330+L331</f>
        <v>745120</v>
      </c>
      <c r="M329" s="156">
        <f t="shared" ca="1" si="97"/>
        <v>784260</v>
      </c>
      <c r="N329" s="156">
        <f t="shared" ca="1" si="97"/>
        <v>712137.78</v>
      </c>
      <c r="O329" s="155">
        <f t="shared" ref="O329:O331" ca="1" si="98">IF(L329&gt;0,N329*100/L329,0)</f>
        <v>95.573569357955762</v>
      </c>
      <c r="P329" s="155">
        <f t="shared" ref="P329:P331" ca="1" si="99">IF(M329&gt;0,N329*100/M329,0)</f>
        <v>90.803787009410144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0">L332+L336</f>
        <v>0</v>
      </c>
      <c r="M330" s="161">
        <f t="shared" si="100"/>
        <v>0</v>
      </c>
      <c r="N330" s="161">
        <f t="shared" si="100"/>
        <v>0</v>
      </c>
      <c r="O330" s="160">
        <f t="shared" si="98"/>
        <v>0</v>
      </c>
      <c r="P330" s="160">
        <f t="shared" si="99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1">L333+L337</f>
        <v>745120</v>
      </c>
      <c r="M331" s="161">
        <f t="shared" ca="1" si="101"/>
        <v>784260</v>
      </c>
      <c r="N331" s="161">
        <f t="shared" ca="1" si="101"/>
        <v>712137.78</v>
      </c>
      <c r="O331" s="160">
        <f t="shared" ca="1" si="98"/>
        <v>95.573569357955762</v>
      </c>
      <c r="P331" s="160">
        <f t="shared" ca="1" si="99"/>
        <v>90.803787009410144</v>
      </c>
    </row>
    <row r="332" spans="1:16" ht="21.75" customHeight="1" x14ac:dyDescent="0.3">
      <c r="A332" s="162"/>
      <c r="B332" s="163"/>
      <c r="C332" s="163" t="s">
        <v>16</v>
      </c>
      <c r="D332" s="574" t="s">
        <v>20</v>
      </c>
      <c r="E332" s="575"/>
      <c r="F332" s="575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598120</v>
      </c>
      <c r="M333" s="173">
        <f ca="1">IFERROR(__xludf.DUMMYFUNCTION("IMPORTRANGE(""https://docs.google.com/spreadsheets/d/1Yj_ptqi66GCucihVvJfMjLAmec39IyEx_6qawtMGysU/edit?usp=sharing"",""สบก!DL88"")"),637260)</f>
        <v>637260</v>
      </c>
      <c r="N333" s="174">
        <f ca="1">IFERROR(__xludf.DUMMYFUNCTION("IMPORTRANGE(""https://docs.google.com/spreadsheets/d/1Yj_ptqi66GCucihVvJfMjLAmec39IyEx_6qawtMGysU/edit?usp=sharing"",""สบก!DM88"")"),573137.78)</f>
        <v>573137.78</v>
      </c>
      <c r="O333" s="175">
        <f ca="1">IF(L333&gt;0,N333*100/L333,0)</f>
        <v>95.823209389420185</v>
      </c>
      <c r="P333" s="175">
        <f ca="1">IF(M333&gt;0,N333*100/M333,0)</f>
        <v>89.937824435866048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IFERROR(__xludf.DUMMYFUNCTION("IMPORTRANGE(""https://docs.google.com/spreadsheets/d/1Yj_ptqi66GCucihVvJfMjLAmec39IyEx_6qawtMGysU/edit?usp=sharing"",""สบก!DH88"")"),306000)</f>
        <v>306000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IFERROR(__xludf.DUMMYFUNCTION("IMPORTRANGE(""https://docs.google.com/spreadsheets/d/1Yj_ptqi66GCucihVvJfMjLAmec39IyEx_6qawtMGysU/edit?usp=sharing"",""สบก!DI88"")"),292120)</f>
        <v>292120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6" t="s">
        <v>23</v>
      </c>
      <c r="E336" s="575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IFERROR(__xludf.DUMMYFUNCTION("IMPORTRANGE(""https://docs.google.com/spreadsheets/d/1Yj_ptqi66GCucihVvJfMjLAmec39IyEx_6qawtMGysU/edit?usp=sharing"",""สบก!DJ88"")"),147000)</f>
        <v>147000</v>
      </c>
      <c r="M337" s="101">
        <f ca="1">L337</f>
        <v>147000</v>
      </c>
      <c r="N337" s="91">
        <f ca="1">IFERROR(__xludf.DUMMYFUNCTION("IMPORTRANGE(""https://docs.google.com/spreadsheets/d/1Yj_ptqi66GCucihVvJfMjLAmec39IyEx_6qawtMGysU/edit?usp=sharing"",""สบก!DN88"")"),139000)</f>
        <v>139000</v>
      </c>
      <c r="O337" s="101">
        <f ca="1">IF(L337&gt;0,N337*100/L337,0)</f>
        <v>94.557823129251702</v>
      </c>
      <c r="P337" s="101">
        <f ca="1">IF(M337&gt;0,N337*100/M337,0)</f>
        <v>94.557823129251702</v>
      </c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IFERROR(__xludf.DUMMYFUNCTION("IMPORTRANGE(""https://docs.google.com/spreadsheets/d/1IYY_tgx_IHuhSq3AJ5eI5OnqOPBNLWSHKh2a30DoXe8/edit?usp=sharing"",""พัทลุง!I234"")"),0)</f>
        <v>0</v>
      </c>
      <c r="J339" s="194">
        <f ca="1">IFERROR(__xludf.DUMMYFUNCTION("IMPORTRANGE(""https://docs.google.com/spreadsheets/d/1IYY_tgx_IHuhSq3AJ5eI5OnqOPBNLWSHKh2a30DoXe8/edit?usp=sharing"",""พัทลุง!J234"")"),164)</f>
        <v>164</v>
      </c>
      <c r="K339" s="348">
        <f t="shared" ref="K339:K346" ca="1" si="102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IFERROR(__xludf.DUMMYFUNCTION("IMPORTRANGE(""https://docs.google.com/spreadsheets/d/1IYY_tgx_IHuhSq3AJ5eI5OnqOPBNLWSHKh2a30DoXe8/edit?usp=sharing"",""พัทลุง!I235"")"),800)</f>
        <v>800</v>
      </c>
      <c r="J340" s="194">
        <f ca="1">IFERROR(__xludf.DUMMYFUNCTION("IMPORTRANGE(""https://docs.google.com/spreadsheets/d/1IYY_tgx_IHuhSq3AJ5eI5OnqOPBNLWSHKh2a30DoXe8/edit?usp=sharing"",""พัทลุง!J235"")"),811.99)</f>
        <v>811.99</v>
      </c>
      <c r="K340" s="348">
        <f t="shared" ca="1" si="102"/>
        <v>101.49875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IFERROR(__xludf.DUMMYFUNCTION("IMPORTRANGE(""https://docs.google.com/spreadsheets/d/1IYY_tgx_IHuhSq3AJ5eI5OnqOPBNLWSHKh2a30DoXe8/edit?usp=sharing"",""พัทลุง!I236"")"),270)</f>
        <v>270</v>
      </c>
      <c r="J341" s="194">
        <f ca="1">IFERROR(__xludf.DUMMYFUNCTION("IMPORTRANGE(""https://docs.google.com/spreadsheets/d/1IYY_tgx_IHuhSq3AJ5eI5OnqOPBNLWSHKh2a30DoXe8/edit?usp=sharing"",""พัทลุง!J236"")"),318)</f>
        <v>318</v>
      </c>
      <c r="K341" s="348">
        <f t="shared" ca="1" si="102"/>
        <v>117.77777777777777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IFERROR(__xludf.DUMMYFUNCTION("IMPORTRANGE(""https://docs.google.com/spreadsheets/d/1IYY_tgx_IHuhSq3AJ5eI5OnqOPBNLWSHKh2a30DoXe8/edit?usp=sharing"",""พัทลุง!I237"")"),0)</f>
        <v>0</v>
      </c>
      <c r="J342" s="194">
        <f ca="1">IFERROR(__xludf.DUMMYFUNCTION("IMPORTRANGE(""https://docs.google.com/spreadsheets/d/1IYY_tgx_IHuhSq3AJ5eI5OnqOPBNLWSHKh2a30DoXe8/edit?usp=sharing"",""พัทลุง!J237"")"),1979.49)</f>
        <v>1979.49</v>
      </c>
      <c r="K342" s="348">
        <f t="shared" ca="1" si="102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IFERROR(__xludf.DUMMYFUNCTION("IMPORTRANGE(""https://docs.google.com/spreadsheets/d/1IYY_tgx_IHuhSq3AJ5eI5OnqOPBNLWSHKh2a30DoXe8/edit?usp=sharing"",""พัทลุง!I238"")"),270)</f>
        <v>270</v>
      </c>
      <c r="J343" s="194">
        <f ca="1">IFERROR(__xludf.DUMMYFUNCTION("IMPORTRANGE(""https://docs.google.com/spreadsheets/d/1IYY_tgx_IHuhSq3AJ5eI5OnqOPBNLWSHKh2a30DoXe8/edit?usp=sharing"",""พัทลุง!J238"")"),26)</f>
        <v>26</v>
      </c>
      <c r="K343" s="348">
        <f t="shared" ca="1" si="102"/>
        <v>9.6296296296296298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IFERROR(__xludf.DUMMYFUNCTION("IMPORTRANGE(""https://docs.google.com/spreadsheets/d/1IYY_tgx_IHuhSq3AJ5eI5OnqOPBNLWSHKh2a30DoXe8/edit?usp=sharing"",""พัทลุง!I239"")"),0)</f>
        <v>0</v>
      </c>
      <c r="J344" s="194">
        <f ca="1">IFERROR(__xludf.DUMMYFUNCTION("IMPORTRANGE(""https://docs.google.com/spreadsheets/d/1IYY_tgx_IHuhSq3AJ5eI5OnqOPBNLWSHKh2a30DoXe8/edit?usp=sharing"",""พัทลุง!J239"")"),147.12)</f>
        <v>147.12</v>
      </c>
      <c r="K344" s="348">
        <f t="shared" ca="1" si="102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IFERROR(__xludf.DUMMYFUNCTION("IMPORTRANGE(""https://docs.google.com/spreadsheets/d/1IYY_tgx_IHuhSq3AJ5eI5OnqOPBNLWSHKh2a30DoXe8/edit?usp=sharing"",""พัทลุง!I240"")"),270)</f>
        <v>270</v>
      </c>
      <c r="J345" s="194">
        <f ca="1">IFERROR(__xludf.DUMMYFUNCTION("IMPORTRANGE(""https://docs.google.com/spreadsheets/d/1IYY_tgx_IHuhSq3AJ5eI5OnqOPBNLWSHKh2a30DoXe8/edit?usp=sharing"",""พัทลุง!J240"")"),289)</f>
        <v>289</v>
      </c>
      <c r="K345" s="348">
        <f t="shared" ca="1" si="102"/>
        <v>107.03703703703704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IFERROR(__xludf.DUMMYFUNCTION("IMPORTRANGE(""https://docs.google.com/spreadsheets/d/1IYY_tgx_IHuhSq3AJ5eI5OnqOPBNLWSHKh2a30DoXe8/edit?usp=sharing"",""พัทลุง!I241"")"),0)</f>
        <v>0</v>
      </c>
      <c r="J346" s="194">
        <f ca="1">IFERROR(__xludf.DUMMYFUNCTION("IMPORTRANGE(""https://docs.google.com/spreadsheets/d/1IYY_tgx_IHuhSq3AJ5eI5OnqOPBNLWSHKh2a30DoXe8/edit?usp=sharing"",""พัทลุง!J241"")"),1818.99)</f>
        <v>1818.99</v>
      </c>
      <c r="K346" s="357">
        <f t="shared" ca="1" si="102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IFERROR(__xludf.DUMMYFUNCTION("IMPORTRANGE(""https://docs.google.com/spreadsheets/d/1IYY_tgx_IHuhSq3AJ5eI5OnqOPBNLWSHKh2a30DoXe8/edit?usp=sharing"",""พัทลุง!L242"")"),1638917)</f>
        <v>1638917</v>
      </c>
      <c r="M347" s="364"/>
      <c r="N347" s="364">
        <f ca="1">IFERROR(__xludf.DUMMYFUNCTION("IMPORTRANGE(""https://docs.google.com/spreadsheets/d/1IYY_tgx_IHuhSq3AJ5eI5OnqOPBNLWSHKh2a30DoXe8/edit?usp=sharing"",""พัทลุง!M242"")"),1243134.93)</f>
        <v>1243134.93</v>
      </c>
      <c r="O347" s="364">
        <f ca="1">+IF(L347&gt;0,N347*100/L347,0)</f>
        <v>75.850999776071632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IFERROR(__xludf.DUMMYFUNCTION("IMPORTRANGE(""https://docs.google.com/spreadsheets/d/1IYY_tgx_IHuhSq3AJ5eI5OnqOPBNLWSHKh2a30DoXe8/edit?usp=sharing"",""พัทลุง!I244"")"),128)</f>
        <v>128</v>
      </c>
      <c r="J349" s="377">
        <f ca="1">IFERROR(__xludf.DUMMYFUNCTION("IMPORTRANGE(""https://docs.google.com/spreadsheets/d/1IYY_tgx_IHuhSq3AJ5eI5OnqOPBNLWSHKh2a30DoXe8/edit?usp=sharing"",""พัทลุง!J244"")"),128)</f>
        <v>128</v>
      </c>
      <c r="K349" s="378">
        <f t="shared" ref="K349:K350" ca="1" si="103">IF(I349&gt;0,J349*100/I349,0)</f>
        <v>100</v>
      </c>
      <c r="L349" s="379">
        <f ca="1">IFERROR(__xludf.DUMMYFUNCTION("IMPORTRANGE(""https://docs.google.com/spreadsheets/d/1IYY_tgx_IHuhSq3AJ5eI5OnqOPBNLWSHKh2a30DoXe8/edit?usp=sharing"",""พัทลุง!L244"")"),334640)</f>
        <v>334640</v>
      </c>
      <c r="M349" s="379"/>
      <c r="N349" s="379">
        <f ca="1">IFERROR(__xludf.DUMMYFUNCTION("IMPORTRANGE(""https://docs.google.com/spreadsheets/d/1IYY_tgx_IHuhSq3AJ5eI5OnqOPBNLWSHKh2a30DoXe8/edit?usp=sharing"",""พัทลุง!M244"")"),279614.11)</f>
        <v>279614.11</v>
      </c>
      <c r="O349" s="379">
        <f ca="1">+IF(L349&gt;0,N349*100/L349,0)</f>
        <v>83.556690772173084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IFERROR(__xludf.DUMMYFUNCTION("IMPORTRANGE(""https://docs.google.com/spreadsheets/d/1IYY_tgx_IHuhSq3AJ5eI5OnqOPBNLWSHKh2a30DoXe8/edit?usp=sharing"",""พัทลุง!I245"")"),32)</f>
        <v>32</v>
      </c>
      <c r="J350" s="377">
        <f ca="1">IFERROR(__xludf.DUMMYFUNCTION("IMPORTRANGE(""https://docs.google.com/spreadsheets/d/1IYY_tgx_IHuhSq3AJ5eI5OnqOPBNLWSHKh2a30DoXe8/edit?usp=sharing"",""พัทลุง!J245"")"),32)</f>
        <v>32</v>
      </c>
      <c r="K350" s="378">
        <f t="shared" ca="1" si="103"/>
        <v>100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IFERROR(__xludf.DUMMYFUNCTION("IMPORTRANGE(""https://docs.google.com/spreadsheets/d/1IYY_tgx_IHuhSq3AJ5eI5OnqOPBNLWSHKh2a30DoXe8/edit?usp=sharing"",""พัทลุง!L246"")"),0)</f>
        <v>0</v>
      </c>
      <c r="M351" s="168"/>
      <c r="N351" s="168">
        <f ca="1">IFERROR(__xludf.DUMMYFUNCTION("IMPORTRANGE(""https://docs.google.com/spreadsheets/d/1IYY_tgx_IHuhSq3AJ5eI5OnqOPBNLWSHKh2a30DoXe8/edit?usp=sharing"",""พัทลุง!M246"")"),0)</f>
        <v>0</v>
      </c>
      <c r="O351" s="169">
        <f t="shared" ref="O351:O354" ca="1" si="104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IFERROR(__xludf.DUMMYFUNCTION("IMPORTRANGE(""https://docs.google.com/spreadsheets/d/1IYY_tgx_IHuhSq3AJ5eI5OnqOPBNLWSHKh2a30DoXe8/edit?usp=sharing"",""พัทลุง!L247"")"),334640)</f>
        <v>334640</v>
      </c>
      <c r="M352" s="169"/>
      <c r="N352" s="168">
        <f ca="1">IFERROR(__xludf.DUMMYFUNCTION("IMPORTRANGE(""https://docs.google.com/spreadsheets/d/1IYY_tgx_IHuhSq3AJ5eI5OnqOPBNLWSHKh2a30DoXe8/edit?usp=sharing"",""พัทลุง!M247"")"),279614.11)</f>
        <v>279614.11</v>
      </c>
      <c r="O352" s="169">
        <f t="shared" ca="1" si="104"/>
        <v>83.556690772173084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IFERROR(__xludf.DUMMYFUNCTION("IMPORTRANGE(""https://docs.google.com/spreadsheets/d/1IYY_tgx_IHuhSq3AJ5eI5OnqOPBNLWSHKh2a30DoXe8/edit?usp=sharing"",""พัทลุง!L248"")"),0)</f>
        <v>0</v>
      </c>
      <c r="M353" s="175"/>
      <c r="N353" s="175">
        <f ca="1">IFERROR(__xludf.DUMMYFUNCTION("IMPORTRANGE(""https://docs.google.com/spreadsheets/d/1IYY_tgx_IHuhSq3AJ5eI5OnqOPBNLWSHKh2a30DoXe8/edit?usp=sharing"",""พัทลุง!M248"")"),0)</f>
        <v>0</v>
      </c>
      <c r="O353" s="175">
        <f t="shared" ca="1" si="104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IFERROR(__xludf.DUMMYFUNCTION("IMPORTRANGE(""https://docs.google.com/spreadsheets/d/1IYY_tgx_IHuhSq3AJ5eI5OnqOPBNLWSHKh2a30DoXe8/edit?usp=sharing"",""พัทลุง!L249"")"),334640)</f>
        <v>334640</v>
      </c>
      <c r="M354" s="175"/>
      <c r="N354" s="172">
        <f ca="1">IFERROR(__xludf.DUMMYFUNCTION("IMPORTRANGE(""https://docs.google.com/spreadsheets/d/1IYY_tgx_IHuhSq3AJ5eI5OnqOPBNLWSHKh2a30DoXe8/edit?usp=sharing"",""พัทลุง!M249"")"),279614.11)</f>
        <v>279614.11</v>
      </c>
      <c r="O354" s="175">
        <f t="shared" ca="1" si="104"/>
        <v>83.556690772173084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IFERROR(__xludf.DUMMYFUNCTION("IMPORTRANGE(""https://docs.google.com/spreadsheets/d/1IYY_tgx_IHuhSq3AJ5eI5OnqOPBNLWSHKh2a30DoXe8/edit?usp=sharing"",""พัทลุง!M250"")"),41180)</f>
        <v>41180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IFERROR(__xludf.DUMMYFUNCTION("IMPORTRANGE(""https://docs.google.com/spreadsheets/d/1IYY_tgx_IHuhSq3AJ5eI5OnqOPBNLWSHKh2a30DoXe8/edit?usp=sharing"",""พัทลุง!M251"")"),116600)</f>
        <v>116600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IFERROR(__xludf.DUMMYFUNCTION("IMPORTRANGE(""https://docs.google.com/spreadsheets/d/1IYY_tgx_IHuhSq3AJ5eI5OnqOPBNLWSHKh2a30DoXe8/edit?usp=sharing"",""พัทลุง!M252"")"),108214.11)</f>
        <v>108214.11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IFERROR(__xludf.DUMMYFUNCTION("IMPORTRANGE(""https://docs.google.com/spreadsheets/d/1IYY_tgx_IHuhSq3AJ5eI5OnqOPBNLWSHKh2a30DoXe8/edit?usp=sharing"",""พัทลุง!M253"")"),13620)</f>
        <v>13620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IFERROR(__xludf.DUMMYFUNCTION("IMPORTRANGE(""https://docs.google.com/spreadsheets/d/1IYY_tgx_IHuhSq3AJ5eI5OnqOPBNLWSHKh2a30DoXe8/edit?usp=sharing"",""พัทลุง!J255"")"),0)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IFERROR(__xludf.DUMMYFUNCTION("IMPORTRANGE(""https://docs.google.com/spreadsheets/d/1IYY_tgx_IHuhSq3AJ5eI5OnqOPBNLWSHKh2a30DoXe8/edit?usp=sharing"",""พัทลุง!J256"")"),1)</f>
        <v>1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IFERROR(__xludf.DUMMYFUNCTION("IMPORTRANGE(""https://docs.google.com/spreadsheets/d/1IYY_tgx_IHuhSq3AJ5eI5OnqOPBNLWSHKh2a30DoXe8/edit?usp=sharing"",""พัทลุง!J257"")"),1)</f>
        <v>1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IFERROR(__xludf.DUMMYFUNCTION("IMPORTRANGE(""https://docs.google.com/spreadsheets/d/1IYY_tgx_IHuhSq3AJ5eI5OnqOPBNLWSHKh2a30DoXe8/edit?usp=sharing"",""พัทลุง!J258"")"),1)</f>
        <v>1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IFERROR(__xludf.DUMMYFUNCTION("IMPORTRANGE(""https://docs.google.com/spreadsheets/d/1IYY_tgx_IHuhSq3AJ5eI5OnqOPBNLWSHKh2a30DoXe8/edit?usp=sharing"",""พัทลุง!J166"")"),0)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IFERROR(__xludf.DUMMYFUNCTION("IMPORTRANGE(""https://docs.google.com/spreadsheets/d/1IYY_tgx_IHuhSq3AJ5eI5OnqOPBNLWSHKh2a30DoXe8/edit?usp=sharing"",""พัทลุง!J166"")"),0)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IFERROR(__xludf.DUMMYFUNCTION("IMPORTRANGE(""https://docs.google.com/spreadsheets/d/1IYY_tgx_IHuhSq3AJ5eI5OnqOPBNLWSHKh2a30DoXe8/edit?usp=sharing"",""พัทลุง!J166"")"),0)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IFERROR(__xludf.DUMMYFUNCTION("IMPORTRANGE(""https://docs.google.com/spreadsheets/d/1IYY_tgx_IHuhSq3AJ5eI5OnqOPBNLWSHKh2a30DoXe8/edit?usp=sharing"",""พัทลุง!J166"")"),0)</f>
        <v>0</v>
      </c>
      <c r="K367" s="167">
        <f t="shared" ref="K367:K373" ca="1" si="105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IFERROR(__xludf.DUMMYFUNCTION("IMPORTRANGE(""https://docs.google.com/spreadsheets/d/1IYY_tgx_IHuhSq3AJ5eI5OnqOPBNLWSHKh2a30DoXe8/edit?usp=sharing"",""พัทลุง!I263"")"),32)</f>
        <v>32</v>
      </c>
      <c r="J368" s="194">
        <f ca="1">IFERROR(__xludf.DUMMYFUNCTION("IMPORTRANGE(""https://docs.google.com/spreadsheets/d/1IYY_tgx_IHuhSq3AJ5eI5OnqOPBNLWSHKh2a30DoXe8/edit?usp=sharing"",""พัทลุง!J263"")"),32)</f>
        <v>32</v>
      </c>
      <c r="K368" s="167">
        <f t="shared" ca="1" si="105"/>
        <v>100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IFERROR(__xludf.DUMMYFUNCTION("IMPORTRANGE(""https://docs.google.com/spreadsheets/d/1IYY_tgx_IHuhSq3AJ5eI5OnqOPBNLWSHKh2a30DoXe8/edit?usp=sharing"",""พัทลุง!I164"")"),0)</f>
        <v>0</v>
      </c>
      <c r="J369" s="210">
        <f ca="1">IFERROR(__xludf.DUMMYFUNCTION("IMPORTRANGE(""https://docs.google.com/spreadsheets/d/1IYY_tgx_IHuhSq3AJ5eI5OnqOPBNLWSHKh2a30DoXe8/edit?usp=sharing"",""พัทลุง!J164"")"),0)</f>
        <v>0</v>
      </c>
      <c r="K369" s="167">
        <f t="shared" ca="1" si="105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IFERROR(__xludf.DUMMYFUNCTION("IMPORTRANGE(""https://docs.google.com/spreadsheets/d/1IYY_tgx_IHuhSq3AJ5eI5OnqOPBNLWSHKh2a30DoXe8/edit?usp=sharing"",""พัทลุง!I265"")"),32)</f>
        <v>32</v>
      </c>
      <c r="J370" s="210">
        <f ca="1">IFERROR(__xludf.DUMMYFUNCTION("IMPORTRANGE(""https://docs.google.com/spreadsheets/d/1IYY_tgx_IHuhSq3AJ5eI5OnqOPBNLWSHKh2a30DoXe8/edit?usp=sharing"",""พัทลุง!J265"")"),32)</f>
        <v>32</v>
      </c>
      <c r="K370" s="167">
        <f t="shared" ca="1" si="105"/>
        <v>100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IFERROR(__xludf.DUMMYFUNCTION("IMPORTRANGE(""https://docs.google.com/spreadsheets/d/1IYY_tgx_IHuhSq3AJ5eI5OnqOPBNLWSHKh2a30DoXe8/edit?usp=sharing"",""พัทลุง!I164"")"),0)</f>
        <v>0</v>
      </c>
      <c r="J371" s="195">
        <f ca="1">IFERROR(__xludf.DUMMYFUNCTION("IMPORTRANGE(""https://docs.google.com/spreadsheets/d/1IYY_tgx_IHuhSq3AJ5eI5OnqOPBNLWSHKh2a30DoXe8/edit?usp=sharing"",""พัทลุง!J164"")"),0)</f>
        <v>0</v>
      </c>
      <c r="K371" s="167">
        <f t="shared" ca="1" si="105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IFERROR(__xludf.DUMMYFUNCTION("IMPORTRANGE(""https://docs.google.com/spreadsheets/d/1IYY_tgx_IHuhSq3AJ5eI5OnqOPBNLWSHKh2a30DoXe8/edit?usp=sharing"",""พัทลุง!I267"")"),32)</f>
        <v>32</v>
      </c>
      <c r="J372" s="195">
        <f ca="1">IFERROR(__xludf.DUMMYFUNCTION("IMPORTRANGE(""https://docs.google.com/spreadsheets/d/1IYY_tgx_IHuhSq3AJ5eI5OnqOPBNLWSHKh2a30DoXe8/edit?usp=sharing"",""พัทลุง!J267"")"),32)</f>
        <v>32</v>
      </c>
      <c r="K372" s="167">
        <f t="shared" ca="1" si="105"/>
        <v>100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IFERROR(__xludf.DUMMYFUNCTION("IMPORTRANGE(""https://docs.google.com/spreadsheets/d/1IYY_tgx_IHuhSq3AJ5eI5OnqOPBNLWSHKh2a30DoXe8/edit?usp=sharing"",""พัทลุง!I164"")"),0)</f>
        <v>0</v>
      </c>
      <c r="J373" s="210">
        <f ca="1">IFERROR(__xludf.DUMMYFUNCTION("IMPORTRANGE(""https://docs.google.com/spreadsheets/d/1IYY_tgx_IHuhSq3AJ5eI5OnqOPBNLWSHKh2a30DoXe8/edit?usp=sharing"",""พัทลุง!J164"")"),0)</f>
        <v>0</v>
      </c>
      <c r="K373" s="167">
        <f t="shared" ca="1" si="105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IFERROR(__xludf.DUMMYFUNCTION("IMPORTRANGE(""https://docs.google.com/spreadsheets/d/1IYY_tgx_IHuhSq3AJ5eI5OnqOPBNLWSHKh2a30DoXe8/edit?usp=sharing"",""พัทลุง!I164"")"),0)</f>
        <v>0</v>
      </c>
      <c r="J374" s="194">
        <f ca="1">IFERROR(__xludf.DUMMYFUNCTION("IMPORTRANGE(""https://docs.google.com/spreadsheets/d/1IYY_tgx_IHuhSq3AJ5eI5OnqOPBNLWSHKh2a30DoXe8/edit?usp=sharing"",""พัทลุง!J164"")"),0)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IFERROR(__xludf.DUMMYFUNCTION("IMPORTRANGE(""https://docs.google.com/spreadsheets/d/1IYY_tgx_IHuhSq3AJ5eI5OnqOPBNLWSHKh2a30DoXe8/edit?usp=sharing"",""พัทลุง!I270"")"),128)</f>
        <v>128</v>
      </c>
      <c r="J375" s="194">
        <f ca="1">IFERROR(__xludf.DUMMYFUNCTION("IMPORTRANGE(""https://docs.google.com/spreadsheets/d/1IYY_tgx_IHuhSq3AJ5eI5OnqOPBNLWSHKh2a30DoXe8/edit?usp=sharing"",""พัทลุง!J270"")"),128)</f>
        <v>128</v>
      </c>
      <c r="K375" s="167">
        <f t="shared" ref="K375:K377" ca="1" si="106">IF(I375&gt;0,J375*100/I375,0)</f>
        <v>100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IFERROR(__xludf.DUMMYFUNCTION("IMPORTRANGE(""https://docs.google.com/spreadsheets/d/1IYY_tgx_IHuhSq3AJ5eI5OnqOPBNLWSHKh2a30DoXe8/edit?usp=sharing"",""พัทลุง!I271"")"),40)</f>
        <v>40</v>
      </c>
      <c r="J376" s="195">
        <f ca="1">IFERROR(__xludf.DUMMYFUNCTION("IMPORTRANGE(""https://docs.google.com/spreadsheets/d/1IYY_tgx_IHuhSq3AJ5eI5OnqOPBNLWSHKh2a30DoXe8/edit?usp=sharing"",""พัทลุง!J271"")"),40)</f>
        <v>40</v>
      </c>
      <c r="K376" s="167">
        <f t="shared" ca="1" si="106"/>
        <v>100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IFERROR(__xludf.DUMMYFUNCTION("IMPORTRANGE(""https://docs.google.com/spreadsheets/d/1IYY_tgx_IHuhSq3AJ5eI5OnqOPBNLWSHKh2a30DoXe8/edit?usp=sharing"",""พัทลุง!I272"")"),88)</f>
        <v>88</v>
      </c>
      <c r="J377" s="210">
        <f ca="1">IFERROR(__xludf.DUMMYFUNCTION("IMPORTRANGE(""https://docs.google.com/spreadsheets/d/1IYY_tgx_IHuhSq3AJ5eI5OnqOPBNLWSHKh2a30DoXe8/edit?usp=sharing"",""พัทลุง!J272"")"),88)</f>
        <v>88</v>
      </c>
      <c r="K377" s="167">
        <f t="shared" ca="1" si="106"/>
        <v>100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IFERROR(__xludf.DUMMYFUNCTION("IMPORTRANGE(""https://docs.google.com/spreadsheets/d/1IYY_tgx_IHuhSq3AJ5eI5OnqOPBNLWSHKh2a30DoXe8/edit?usp=sharing"",""พัทลุง!J273"")"),0)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IFERROR(__xludf.DUMMYFUNCTION("IMPORTRANGE(""https://docs.google.com/spreadsheets/d/1IYY_tgx_IHuhSq3AJ5eI5OnqOPBNLWSHKh2a30DoXe8/edit?usp=sharing"",""พัทลุง!J274"")"),0)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IFERROR(__xludf.DUMMYFUNCTION("IMPORTRANGE(""https://docs.google.com/spreadsheets/d/1IYY_tgx_IHuhSq3AJ5eI5OnqOPBNLWSHKh2a30DoXe8/edit?usp=sharing"",""พัทลุง!I275"")"),300)</f>
        <v>300</v>
      </c>
      <c r="J380" s="377">
        <f ca="1">IFERROR(__xludf.DUMMYFUNCTION("IMPORTRANGE(""https://docs.google.com/spreadsheets/d/1IYY_tgx_IHuhSq3AJ5eI5OnqOPBNLWSHKh2a30DoXe8/edit?usp=sharing"",""พัทลุง!J275"")"),300)</f>
        <v>300</v>
      </c>
      <c r="K380" s="378">
        <f t="shared" ref="K380:K381" ca="1" si="107">IF(I380&gt;0,J380*100/I380,0)</f>
        <v>100</v>
      </c>
      <c r="L380" s="379">
        <f ca="1">IFERROR(__xludf.DUMMYFUNCTION("IMPORTRANGE(""https://docs.google.com/spreadsheets/d/1IYY_tgx_IHuhSq3AJ5eI5OnqOPBNLWSHKh2a30DoXe8/edit?usp=sharing"",""พัทลุง!L275"")"),293900)</f>
        <v>293900</v>
      </c>
      <c r="M380" s="379"/>
      <c r="N380" s="379">
        <f ca="1">IFERROR(__xludf.DUMMYFUNCTION("IMPORTRANGE(""https://docs.google.com/spreadsheets/d/1IYY_tgx_IHuhSq3AJ5eI5OnqOPBNLWSHKh2a30DoXe8/edit?usp=sharing"",""พัทลุง!M275"")"),278320)</f>
        <v>278320</v>
      </c>
      <c r="O380" s="379">
        <f ca="1">+IF(L380&gt;0,N380*100/L380,0)</f>
        <v>94.698877169105131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IFERROR(__xludf.DUMMYFUNCTION("IMPORTRANGE(""https://docs.google.com/spreadsheets/d/1IYY_tgx_IHuhSq3AJ5eI5OnqOPBNLWSHKh2a30DoXe8/edit?usp=sharing"",""พัทลุง!I276"")"),30)</f>
        <v>30</v>
      </c>
      <c r="J381" s="377">
        <f ca="1">IFERROR(__xludf.DUMMYFUNCTION("IMPORTRANGE(""https://docs.google.com/spreadsheets/d/1IYY_tgx_IHuhSq3AJ5eI5OnqOPBNLWSHKh2a30DoXe8/edit?usp=sharing"",""พัทลุง!J276"")"),30)</f>
        <v>30</v>
      </c>
      <c r="K381" s="378">
        <f t="shared" ca="1" si="107"/>
        <v>100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IFERROR(__xludf.DUMMYFUNCTION("IMPORTRANGE(""https://docs.google.com/spreadsheets/d/1IYY_tgx_IHuhSq3AJ5eI5OnqOPBNLWSHKh2a30DoXe8/edit?usp=sharing"",""พัทลุง!L277"")"),0)</f>
        <v>0</v>
      </c>
      <c r="M382" s="168"/>
      <c r="N382" s="168">
        <f ca="1">IFERROR(__xludf.DUMMYFUNCTION("IMPORTRANGE(""https://docs.google.com/spreadsheets/d/1IYY_tgx_IHuhSq3AJ5eI5OnqOPBNLWSHKh2a30DoXe8/edit?usp=sharing"",""พัทลุง!M277"")"),0)</f>
        <v>0</v>
      </c>
      <c r="O382" s="169">
        <f t="shared" ref="O382:O385" ca="1" si="108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IFERROR(__xludf.DUMMYFUNCTION("IMPORTRANGE(""https://docs.google.com/spreadsheets/d/1IYY_tgx_IHuhSq3AJ5eI5OnqOPBNLWSHKh2a30DoXe8/edit?usp=sharing"",""พัทลุง!L278"")"),293900)</f>
        <v>293900</v>
      </c>
      <c r="M383" s="169"/>
      <c r="N383" s="169">
        <f ca="1">IFERROR(__xludf.DUMMYFUNCTION("IMPORTRANGE(""https://docs.google.com/spreadsheets/d/1IYY_tgx_IHuhSq3AJ5eI5OnqOPBNLWSHKh2a30DoXe8/edit?usp=sharing"",""พัทลุง!M278"")"),278320)</f>
        <v>278320</v>
      </c>
      <c r="O383" s="169">
        <f t="shared" ca="1" si="108"/>
        <v>94.698877169105131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IFERROR(__xludf.DUMMYFUNCTION("IMPORTRANGE(""https://docs.google.com/spreadsheets/d/1IYY_tgx_IHuhSq3AJ5eI5OnqOPBNLWSHKh2a30DoXe8/edit?usp=sharing"",""พัทลุง!L279"")"),0)</f>
        <v>0</v>
      </c>
      <c r="M384" s="175"/>
      <c r="N384" s="175">
        <f ca="1">IFERROR(__xludf.DUMMYFUNCTION("IMPORTRANGE(""https://docs.google.com/spreadsheets/d/1IYY_tgx_IHuhSq3AJ5eI5OnqOPBNLWSHKh2a30DoXe8/edit?usp=sharing"",""พัทลุง!M279"")"),0)</f>
        <v>0</v>
      </c>
      <c r="O384" s="175">
        <f t="shared" ca="1" si="108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IFERROR(__xludf.DUMMYFUNCTION("IMPORTRANGE(""https://docs.google.com/spreadsheets/d/1IYY_tgx_IHuhSq3AJ5eI5OnqOPBNLWSHKh2a30DoXe8/edit?usp=sharing"",""พัทลุง!L280"")"),293900)</f>
        <v>293900</v>
      </c>
      <c r="M385" s="175"/>
      <c r="N385" s="172">
        <f ca="1">IFERROR(__xludf.DUMMYFUNCTION("IMPORTRANGE(""https://docs.google.com/spreadsheets/d/1IYY_tgx_IHuhSq3AJ5eI5OnqOPBNLWSHKh2a30DoXe8/edit?usp=sharing"",""พัทลุง!M280"")"),278320)</f>
        <v>278320</v>
      </c>
      <c r="O385" s="175">
        <f t="shared" ca="1" si="108"/>
        <v>94.698877169105131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IFERROR(__xludf.DUMMYFUNCTION("IMPORTRANGE(""https://docs.google.com/spreadsheets/d/1IYY_tgx_IHuhSq3AJ5eI5OnqOPBNLWSHKh2a30DoXe8/edit?usp=sharing"",""พัทลุง!M281"")"),76090)</f>
        <v>76090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IFERROR(__xludf.DUMMYFUNCTION("IMPORTRANGE(""https://docs.google.com/spreadsheets/d/1IYY_tgx_IHuhSq3AJ5eI5OnqOPBNLWSHKh2a30DoXe8/edit?usp=sharing"",""พัทลุง!M282"")"),187500)</f>
        <v>187500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IFERROR(__xludf.DUMMYFUNCTION("IMPORTRANGE(""https://docs.google.com/spreadsheets/d/1IYY_tgx_IHuhSq3AJ5eI5OnqOPBNLWSHKh2a30DoXe8/edit?usp=sharing"",""พัทลุง!M283"")"),0)</f>
        <v>0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IFERROR(__xludf.DUMMYFUNCTION("IMPORTRANGE(""https://docs.google.com/spreadsheets/d/1IYY_tgx_IHuhSq3AJ5eI5OnqOPBNLWSHKh2a30DoXe8/edit?usp=sharing"",""พัทลุง!M284"")"),14730)</f>
        <v>14730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IFERROR(__xludf.DUMMYFUNCTION("IMPORTRANGE(""https://docs.google.com/spreadsheets/d/1IYY_tgx_IHuhSq3AJ5eI5OnqOPBNLWSHKh2a30DoXe8/edit?usp=sharing"",""พัทลุง!J286"")"),0)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IFERROR(__xludf.DUMMYFUNCTION("IMPORTRANGE(""https://docs.google.com/spreadsheets/d/1IYY_tgx_IHuhSq3AJ5eI5OnqOPBNLWSHKh2a30DoXe8/edit?usp=sharing"",""พัทลุง!J287"")"),1)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IFERROR(__xludf.DUMMYFUNCTION("IMPORTRANGE(""https://docs.google.com/spreadsheets/d/1IYY_tgx_IHuhSq3AJ5eI5OnqOPBNLWSHKh2a30DoXe8/edit?usp=sharing"",""พัทลุง!J288"")"),1)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IFERROR(__xludf.DUMMYFUNCTION("IMPORTRANGE(""https://docs.google.com/spreadsheets/d/1IYY_tgx_IHuhSq3AJ5eI5OnqOPBNLWSHKh2a30DoXe8/edit?usp=sharing"",""พัทลุง!J289"")"),1)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IFERROR(__xludf.DUMMYFUNCTION("IMPORTRANGE(""https://docs.google.com/spreadsheets/d/1IYY_tgx_IHuhSq3AJ5eI5OnqOPBNLWSHKh2a30DoXe8/edit?usp=sharing"",""พัทลุง!I291"")"),30)</f>
        <v>30</v>
      </c>
      <c r="J396" s="204">
        <f ca="1">IFERROR(__xludf.DUMMYFUNCTION("IMPORTRANGE(""https://docs.google.com/spreadsheets/d/1IYY_tgx_IHuhSq3AJ5eI5OnqOPBNLWSHKh2a30DoXe8/edit?usp=sharing"",""พัทลุง!J291"")"),30)</f>
        <v>30</v>
      </c>
      <c r="K396" s="167">
        <f t="shared" ref="K396:K398" ca="1" si="109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IFERROR(__xludf.DUMMYFUNCTION("IMPORTRANGE(""https://docs.google.com/spreadsheets/d/1IYY_tgx_IHuhSq3AJ5eI5OnqOPBNLWSHKh2a30DoXe8/edit?usp=sharing"",""พัทลุง!I292"")"),300)</f>
        <v>300</v>
      </c>
      <c r="J397" s="204">
        <f ca="1">IFERROR(__xludf.DUMMYFUNCTION("IMPORTRANGE(""https://docs.google.com/spreadsheets/d/1IYY_tgx_IHuhSq3AJ5eI5OnqOPBNLWSHKh2a30DoXe8/edit?usp=sharing"",""พัทลุง!J292"")"),300)</f>
        <v>300</v>
      </c>
      <c r="K397" s="167">
        <f t="shared" ca="1" si="109"/>
        <v>100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IFERROR(__xludf.DUMMYFUNCTION("IMPORTRANGE(""https://docs.google.com/spreadsheets/d/1IYY_tgx_IHuhSq3AJ5eI5OnqOPBNLWSHKh2a30DoXe8/edit?usp=sharing"",""พัทลุง!I293"")"),30)</f>
        <v>30</v>
      </c>
      <c r="J398" s="204">
        <f ca="1">IFERROR(__xludf.DUMMYFUNCTION("IMPORTRANGE(""https://docs.google.com/spreadsheets/d/1IYY_tgx_IHuhSq3AJ5eI5OnqOPBNLWSHKh2a30DoXe8/edit?usp=sharing"",""พัทลุง!J293"")"),30)</f>
        <v>30</v>
      </c>
      <c r="K398" s="167">
        <f t="shared" ca="1" si="109"/>
        <v>100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IFERROR(__xludf.DUMMYFUNCTION("IMPORTRANGE(""https://docs.google.com/spreadsheets/d/1IYY_tgx_IHuhSq3AJ5eI5OnqOPBNLWSHKh2a30DoXe8/edit?usp=sharing"",""พัทลุง!J294"")"),1)</f>
        <v>1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IFERROR(__xludf.DUMMYFUNCTION("IMPORTRANGE(""https://docs.google.com/spreadsheets/d/1IYY_tgx_IHuhSq3AJ5eI5OnqOPBNLWSHKh2a30DoXe8/edit?usp=sharing"",""พัทลุง!J295"")"),1)</f>
        <v>1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IFERROR(__xludf.DUMMYFUNCTION("IMPORTRANGE(""https://docs.google.com/spreadsheets/d/1IYY_tgx_IHuhSq3AJ5eI5OnqOPBNLWSHKh2a30DoXe8/edit?usp=sharing"",""พัทลุง!I296"")"),135)</f>
        <v>135</v>
      </c>
      <c r="J401" s="377">
        <f ca="1">IFERROR(__xludf.DUMMYFUNCTION("IMPORTRANGE(""https://docs.google.com/spreadsheets/d/1IYY_tgx_IHuhSq3AJ5eI5OnqOPBNLWSHKh2a30DoXe8/edit?usp=sharing"",""พัทลุง!J296"")"),135)</f>
        <v>135</v>
      </c>
      <c r="K401" s="378">
        <f t="shared" ref="K401:K402" ca="1" si="110">IF(I401&gt;0,J401*100/I401,0)</f>
        <v>100</v>
      </c>
      <c r="L401" s="379">
        <f ca="1">IFERROR(__xludf.DUMMYFUNCTION("IMPORTRANGE(""https://docs.google.com/spreadsheets/d/1IYY_tgx_IHuhSq3AJ5eI5OnqOPBNLWSHKh2a30DoXe8/edit?usp=sharing"",""พัทลุง!L296"")"),159950)</f>
        <v>159950</v>
      </c>
      <c r="M401" s="379"/>
      <c r="N401" s="379">
        <f ca="1">IFERROR(__xludf.DUMMYFUNCTION("IMPORTRANGE(""https://docs.google.com/spreadsheets/d/1IYY_tgx_IHuhSq3AJ5eI5OnqOPBNLWSHKh2a30DoXe8/edit?usp=sharing"",""พัทลุง!M296"")"),147620)</f>
        <v>147620</v>
      </c>
      <c r="O401" s="379">
        <f ca="1">+IF(L401&gt;0,N401*100/L401,0)</f>
        <v>92.291341044076276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IFERROR(__xludf.DUMMYFUNCTION("IMPORTRANGE(""https://docs.google.com/spreadsheets/d/1IYY_tgx_IHuhSq3AJ5eI5OnqOPBNLWSHKh2a30DoXe8/edit?usp=sharing"",""พัทลุง!I297"")"),45)</f>
        <v>45</v>
      </c>
      <c r="J402" s="377">
        <f ca="1">IFERROR(__xludf.DUMMYFUNCTION("IMPORTRANGE(""https://docs.google.com/spreadsheets/d/1IYY_tgx_IHuhSq3AJ5eI5OnqOPBNLWSHKh2a30DoXe8/edit?usp=sharing"",""พัทลุง!J297"")"),45)</f>
        <v>45</v>
      </c>
      <c r="K402" s="378">
        <f t="shared" ca="1" si="110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IFERROR(__xludf.DUMMYFUNCTION("IMPORTRANGE(""https://docs.google.com/spreadsheets/d/1IYY_tgx_IHuhSq3AJ5eI5OnqOPBNLWSHKh2a30DoXe8/edit?usp=sharing"",""พัทลุง!L298"")"),0)</f>
        <v>0</v>
      </c>
      <c r="M403" s="168"/>
      <c r="N403" s="175">
        <f ca="1">IFERROR(__xludf.DUMMYFUNCTION("IMPORTRANGE(""https://docs.google.com/spreadsheets/d/1IYY_tgx_IHuhSq3AJ5eI5OnqOPBNLWSHKh2a30DoXe8/edit?usp=sharing"",""พัทลุง!M298"")"),0)</f>
        <v>0</v>
      </c>
      <c r="O403" s="175">
        <f t="shared" ref="O403:O406" ca="1" si="111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IFERROR(__xludf.DUMMYFUNCTION("IMPORTRANGE(""https://docs.google.com/spreadsheets/d/1IYY_tgx_IHuhSq3AJ5eI5OnqOPBNLWSHKh2a30DoXe8/edit?usp=sharing"",""พัทลุง!L299"")"),159950)</f>
        <v>159950</v>
      </c>
      <c r="M404" s="169"/>
      <c r="N404" s="175">
        <f ca="1">IFERROR(__xludf.DUMMYFUNCTION("IMPORTRANGE(""https://docs.google.com/spreadsheets/d/1IYY_tgx_IHuhSq3AJ5eI5OnqOPBNLWSHKh2a30DoXe8/edit?usp=sharing"",""พัทลุง!M299"")"),147620)</f>
        <v>147620</v>
      </c>
      <c r="O404" s="175">
        <f t="shared" ca="1" si="111"/>
        <v>92.291341044076276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IFERROR(__xludf.DUMMYFUNCTION("IMPORTRANGE(""https://docs.google.com/spreadsheets/d/1IYY_tgx_IHuhSq3AJ5eI5OnqOPBNLWSHKh2a30DoXe8/edit?usp=sharing"",""พัทลุง!L300"")"),0)</f>
        <v>0</v>
      </c>
      <c r="M405" s="175"/>
      <c r="N405" s="175">
        <f ca="1">IFERROR(__xludf.DUMMYFUNCTION("IMPORTRANGE(""https://docs.google.com/spreadsheets/d/1IYY_tgx_IHuhSq3AJ5eI5OnqOPBNLWSHKh2a30DoXe8/edit?usp=sharing"",""พัทลุง!M300"")"),0)</f>
        <v>0</v>
      </c>
      <c r="O405" s="175">
        <f t="shared" ca="1" si="111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IFERROR(__xludf.DUMMYFUNCTION("IMPORTRANGE(""https://docs.google.com/spreadsheets/d/1IYY_tgx_IHuhSq3AJ5eI5OnqOPBNLWSHKh2a30DoXe8/edit?usp=sharing"",""พัทลุง!L301"")"),159950)</f>
        <v>159950</v>
      </c>
      <c r="M406" s="175"/>
      <c r="N406" s="175">
        <f ca="1">IFERROR(__xludf.DUMMYFUNCTION("IMPORTRANGE(""https://docs.google.com/spreadsheets/d/1IYY_tgx_IHuhSq3AJ5eI5OnqOPBNLWSHKh2a30DoXe8/edit?usp=sharing"",""พัทลุง!M301"")"),147620)</f>
        <v>147620</v>
      </c>
      <c r="O406" s="175">
        <f t="shared" ca="1" si="111"/>
        <v>92.291341044076276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IFERROR(__xludf.DUMMYFUNCTION("IMPORTRANGE(""https://docs.google.com/spreadsheets/d/1IYY_tgx_IHuhSq3AJ5eI5OnqOPBNLWSHKh2a30DoXe8/edit?usp=sharing"",""พัทลุง!M302"")"),97550)</f>
        <v>97550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IFERROR(__xludf.DUMMYFUNCTION("IMPORTRANGE(""https://docs.google.com/spreadsheets/d/1IYY_tgx_IHuhSq3AJ5eI5OnqOPBNLWSHKh2a30DoXe8/edit?usp=sharing"",""พัทลุง!M303"")"),32500)</f>
        <v>32500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IFERROR(__xludf.DUMMYFUNCTION("IMPORTRANGE(""https://docs.google.com/spreadsheets/d/1IYY_tgx_IHuhSq3AJ5eI5OnqOPBNLWSHKh2a30DoXe8/edit?usp=sharing"",""พัทลุง!M304"")"),0)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IFERROR(__xludf.DUMMYFUNCTION("IMPORTRANGE(""https://docs.google.com/spreadsheets/d/1IYY_tgx_IHuhSq3AJ5eI5OnqOPBNLWSHKh2a30DoXe8/edit?usp=sharing"",""พัทลุง!M305"")"),17570)</f>
        <v>17570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IFERROR(__xludf.DUMMYFUNCTION("IMPORTRANGE(""https://docs.google.com/spreadsheets/d/1IYY_tgx_IHuhSq3AJ5eI5OnqOPBNLWSHKh2a30DoXe8/edit?usp=sharing"",""พัทลุง!J307"")"),0)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IFERROR(__xludf.DUMMYFUNCTION("IMPORTRANGE(""https://docs.google.com/spreadsheets/d/1IYY_tgx_IHuhSq3AJ5eI5OnqOPBNLWSHKh2a30DoXe8/edit?usp=sharing"",""พัทลุง!J308"")"),1)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IFERROR(__xludf.DUMMYFUNCTION("IMPORTRANGE(""https://docs.google.com/spreadsheets/d/1IYY_tgx_IHuhSq3AJ5eI5OnqOPBNLWSHKh2a30DoXe8/edit?usp=sharing"",""พัทลุง!J309"")"),1)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IFERROR(__xludf.DUMMYFUNCTION("IMPORTRANGE(""https://docs.google.com/spreadsheets/d/1IYY_tgx_IHuhSq3AJ5eI5OnqOPBNLWSHKh2a30DoXe8/edit?usp=sharing"",""พัทลุง!J310"")"),1)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IFERROR(__xludf.DUMMYFUNCTION("IMPORTRANGE(""https://docs.google.com/spreadsheets/d/1IYY_tgx_IHuhSq3AJ5eI5OnqOPBNLWSHKh2a30DoXe8/edit?usp=sharing"",""พัทลุง!I311"")"),45)</f>
        <v>45</v>
      </c>
      <c r="J416" s="207">
        <f ca="1">IFERROR(__xludf.DUMMYFUNCTION("IMPORTRANGE(""https://docs.google.com/spreadsheets/d/1IYY_tgx_IHuhSq3AJ5eI5OnqOPBNLWSHKh2a30DoXe8/edit?usp=sharing"",""พัทลุง!J311"")"),45)</f>
        <v>45</v>
      </c>
      <c r="K416" s="208">
        <f t="shared" ref="K416:K432" ca="1" si="112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IFERROR(__xludf.DUMMYFUNCTION("IMPORTRANGE(""https://docs.google.com/spreadsheets/d/1IYY_tgx_IHuhSq3AJ5eI5OnqOPBNLWSHKh2a30DoXe8/edit?usp=sharing"",""พัทลุง!I312"")"),10)</f>
        <v>10</v>
      </c>
      <c r="J417" s="398">
        <f ca="1">IFERROR(__xludf.DUMMYFUNCTION("IMPORTRANGE(""https://docs.google.com/spreadsheets/d/1IYY_tgx_IHuhSq3AJ5eI5OnqOPBNLWSHKh2a30DoXe8/edit?usp=sharing"",""พัทลุง!J312"")"),10)</f>
        <v>10</v>
      </c>
      <c r="K417" s="208">
        <f t="shared" ca="1" si="112"/>
        <v>100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IFERROR(__xludf.DUMMYFUNCTION("IMPORTRANGE(""https://docs.google.com/spreadsheets/d/1IYY_tgx_IHuhSq3AJ5eI5OnqOPBNLWSHKh2a30DoXe8/edit?usp=sharing"",""พัทลุง!I313"")"),30)</f>
        <v>30</v>
      </c>
      <c r="J418" s="399">
        <f ca="1">IFERROR(__xludf.DUMMYFUNCTION("IMPORTRANGE(""https://docs.google.com/spreadsheets/d/1IYY_tgx_IHuhSq3AJ5eI5OnqOPBNLWSHKh2a30DoXe8/edit?usp=sharing"",""พัทลุง!J313"")"),30)</f>
        <v>30</v>
      </c>
      <c r="K418" s="208">
        <f t="shared" ca="1" si="112"/>
        <v>100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IFERROR(__xludf.DUMMYFUNCTION("IMPORTRANGE(""https://docs.google.com/spreadsheets/d/1IYY_tgx_IHuhSq3AJ5eI5OnqOPBNLWSHKh2a30DoXe8/edit?usp=sharing"",""พัทลุง!I314"")"),10)</f>
        <v>10</v>
      </c>
      <c r="J419" s="400">
        <f ca="1">IFERROR(__xludf.DUMMYFUNCTION("IMPORTRANGE(""https://docs.google.com/spreadsheets/d/1IYY_tgx_IHuhSq3AJ5eI5OnqOPBNLWSHKh2a30DoXe8/edit?usp=sharing"",""พัทลุง!J314"")"),10)</f>
        <v>10</v>
      </c>
      <c r="K419" s="167">
        <f t="shared" ca="1" si="112"/>
        <v>100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IFERROR(__xludf.DUMMYFUNCTION("IMPORTRANGE(""https://docs.google.com/spreadsheets/d/1IYY_tgx_IHuhSq3AJ5eI5OnqOPBNLWSHKh2a30DoXe8/edit?usp=sharing"",""พัทลุง!I315"")"),10)</f>
        <v>10</v>
      </c>
      <c r="J420" s="400">
        <f ca="1">IFERROR(__xludf.DUMMYFUNCTION("IMPORTRANGE(""https://docs.google.com/spreadsheets/d/1IYY_tgx_IHuhSq3AJ5eI5OnqOPBNLWSHKh2a30DoXe8/edit?usp=sharing"",""พัทลุง!J315"")"),10)</f>
        <v>10</v>
      </c>
      <c r="K420" s="294">
        <f t="shared" ca="1" si="112"/>
        <v>100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IFERROR(__xludf.DUMMYFUNCTION("IMPORTRANGE(""https://docs.google.com/spreadsheets/d/1IYY_tgx_IHuhSq3AJ5eI5OnqOPBNLWSHKh2a30DoXe8/edit?usp=sharing"",""พัทลุง!I316"")"),25)</f>
        <v>25</v>
      </c>
      <c r="J421" s="398">
        <f ca="1">IFERROR(__xludf.DUMMYFUNCTION("IMPORTRANGE(""https://docs.google.com/spreadsheets/d/1IYY_tgx_IHuhSq3AJ5eI5OnqOPBNLWSHKh2a30DoXe8/edit?usp=sharing"",""พัทลุง!J316"")"),25)</f>
        <v>25</v>
      </c>
      <c r="K421" s="208">
        <f t="shared" ca="1" si="112"/>
        <v>100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IFERROR(__xludf.DUMMYFUNCTION("IMPORTRANGE(""https://docs.google.com/spreadsheets/d/1IYY_tgx_IHuhSq3AJ5eI5OnqOPBNLWSHKh2a30DoXe8/edit?usp=sharing"",""พัทลุง!I317"")"),75)</f>
        <v>75</v>
      </c>
      <c r="J422" s="399">
        <f ca="1">IFERROR(__xludf.DUMMYFUNCTION("IMPORTRANGE(""https://docs.google.com/spreadsheets/d/1IYY_tgx_IHuhSq3AJ5eI5OnqOPBNLWSHKh2a30DoXe8/edit?usp=sharing"",""พัทลุง!J317"")"),75)</f>
        <v>75</v>
      </c>
      <c r="K422" s="208">
        <f t="shared" ca="1" si="112"/>
        <v>100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IFERROR(__xludf.DUMMYFUNCTION("IMPORTRANGE(""https://docs.google.com/spreadsheets/d/1IYY_tgx_IHuhSq3AJ5eI5OnqOPBNLWSHKh2a30DoXe8/edit?usp=sharing"",""พัทลุง!I318"")"),25)</f>
        <v>25</v>
      </c>
      <c r="J423" s="400">
        <f ca="1">IFERROR(__xludf.DUMMYFUNCTION("IMPORTRANGE(""https://docs.google.com/spreadsheets/d/1IYY_tgx_IHuhSq3AJ5eI5OnqOPBNLWSHKh2a30DoXe8/edit?usp=sharing"",""พัทลุง!J318"")"),25)</f>
        <v>25</v>
      </c>
      <c r="K423" s="167">
        <f t="shared" ca="1" si="112"/>
        <v>100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IFERROR(__xludf.DUMMYFUNCTION("IMPORTRANGE(""https://docs.google.com/spreadsheets/d/1IYY_tgx_IHuhSq3AJ5eI5OnqOPBNLWSHKh2a30DoXe8/edit?usp=sharing"",""พัทลุง!I319"")"),25)</f>
        <v>25</v>
      </c>
      <c r="J424" s="400">
        <f ca="1">IFERROR(__xludf.DUMMYFUNCTION("IMPORTRANGE(""https://docs.google.com/spreadsheets/d/1IYY_tgx_IHuhSq3AJ5eI5OnqOPBNLWSHKh2a30DoXe8/edit?usp=sharing"",""พัทลุง!J319"")"),25)</f>
        <v>25</v>
      </c>
      <c r="K424" s="167">
        <f t="shared" ca="1" si="112"/>
        <v>100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IFERROR(__xludf.DUMMYFUNCTION("IMPORTRANGE(""https://docs.google.com/spreadsheets/d/1IYY_tgx_IHuhSq3AJ5eI5OnqOPBNLWSHKh2a30DoXe8/edit?usp=sharing"",""พัทลุง!I320"")"),25)</f>
        <v>25</v>
      </c>
      <c r="J425" s="400">
        <f ca="1">IFERROR(__xludf.DUMMYFUNCTION("IMPORTRANGE(""https://docs.google.com/spreadsheets/d/1IYY_tgx_IHuhSq3AJ5eI5OnqOPBNLWSHKh2a30DoXe8/edit?usp=sharing"",""พัทลุง!J320"")"),25)</f>
        <v>25</v>
      </c>
      <c r="K425" s="167">
        <f t="shared" ca="1" si="112"/>
        <v>100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IFERROR(__xludf.DUMMYFUNCTION("IMPORTRANGE(""https://docs.google.com/spreadsheets/d/1IYY_tgx_IHuhSq3AJ5eI5OnqOPBNLWSHKh2a30DoXe8/edit?usp=sharing"",""พัทลุง!I321"")"),10)</f>
        <v>10</v>
      </c>
      <c r="J426" s="398">
        <f ca="1">IFERROR(__xludf.DUMMYFUNCTION("IMPORTRANGE(""https://docs.google.com/spreadsheets/d/1IYY_tgx_IHuhSq3AJ5eI5OnqOPBNLWSHKh2a30DoXe8/edit?usp=sharing"",""พัทลุง!J321"")"),10)</f>
        <v>10</v>
      </c>
      <c r="K426" s="208">
        <f t="shared" ca="1" si="112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IFERROR(__xludf.DUMMYFUNCTION("IMPORTRANGE(""https://docs.google.com/spreadsheets/d/1IYY_tgx_IHuhSq3AJ5eI5OnqOPBNLWSHKh2a30DoXe8/edit?usp=sharing"",""พัทลุง!I322"")"),30)</f>
        <v>30</v>
      </c>
      <c r="J427" s="399">
        <f ca="1">IFERROR(__xludf.DUMMYFUNCTION("IMPORTRANGE(""https://docs.google.com/spreadsheets/d/1IYY_tgx_IHuhSq3AJ5eI5OnqOPBNLWSHKh2a30DoXe8/edit?usp=sharing"",""พัทลุง!J322"")"),30)</f>
        <v>30</v>
      </c>
      <c r="K427" s="208">
        <f t="shared" ca="1" si="112"/>
        <v>100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IFERROR(__xludf.DUMMYFUNCTION("IMPORTRANGE(""https://docs.google.com/spreadsheets/d/1IYY_tgx_IHuhSq3AJ5eI5OnqOPBNLWSHKh2a30DoXe8/edit?usp=sharing"",""พัทลุง!I323"")"),10)</f>
        <v>10</v>
      </c>
      <c r="J428" s="400">
        <f ca="1">IFERROR(__xludf.DUMMYFUNCTION("IMPORTRANGE(""https://docs.google.com/spreadsheets/d/1IYY_tgx_IHuhSq3AJ5eI5OnqOPBNLWSHKh2a30DoXe8/edit?usp=sharing"",""พัทลุง!J323"")"),10)</f>
        <v>10</v>
      </c>
      <c r="K428" s="167">
        <f t="shared" ca="1" si="112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IFERROR(__xludf.DUMMYFUNCTION("IMPORTRANGE(""https://docs.google.com/spreadsheets/d/1IYY_tgx_IHuhSq3AJ5eI5OnqOPBNLWSHKh2a30DoXe8/edit?usp=sharing"",""พัทลุง!I324"")"),10)</f>
        <v>10</v>
      </c>
      <c r="J429" s="400">
        <f ca="1">IFERROR(__xludf.DUMMYFUNCTION("IMPORTRANGE(""https://docs.google.com/spreadsheets/d/1IYY_tgx_IHuhSq3AJ5eI5OnqOPBNLWSHKh2a30DoXe8/edit?usp=sharing"",""พัทลุง!J324"")"),10)</f>
        <v>10</v>
      </c>
      <c r="K429" s="167">
        <f t="shared" ca="1" si="112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IFERROR(__xludf.DUMMYFUNCTION("IMPORTRANGE(""https://docs.google.com/spreadsheets/d/1IYY_tgx_IHuhSq3AJ5eI5OnqOPBNLWSHKh2a30DoXe8/edit?usp=sharing"",""พัทลุง!I325"")"),35)</f>
        <v>35</v>
      </c>
      <c r="J430" s="398">
        <f ca="1">IFERROR(__xludf.DUMMYFUNCTION("IMPORTRANGE(""https://docs.google.com/spreadsheets/d/1IYY_tgx_IHuhSq3AJ5eI5OnqOPBNLWSHKh2a30DoXe8/edit?usp=sharing"",""พัทลุง!J325"")"),35)</f>
        <v>35</v>
      </c>
      <c r="K430" s="208">
        <f t="shared" ca="1" si="112"/>
        <v>100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IFERROR(__xludf.DUMMYFUNCTION("IMPORTRANGE(""https://docs.google.com/spreadsheets/d/1IYY_tgx_IHuhSq3AJ5eI5OnqOPBNLWSHKh2a30DoXe8/edit?usp=sharing"",""พัทลุง!I326"")"),10)</f>
        <v>10</v>
      </c>
      <c r="J431" s="400">
        <f ca="1">IFERROR(__xludf.DUMMYFUNCTION("IMPORTRANGE(""https://docs.google.com/spreadsheets/d/1IYY_tgx_IHuhSq3AJ5eI5OnqOPBNLWSHKh2a30DoXe8/edit?usp=sharing"",""พัทลุง!J326"")"),10)</f>
        <v>10</v>
      </c>
      <c r="K431" s="167">
        <f t="shared" ca="1" si="112"/>
        <v>100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IFERROR(__xludf.DUMMYFUNCTION("IMPORTRANGE(""https://docs.google.com/spreadsheets/d/1IYY_tgx_IHuhSq3AJ5eI5OnqOPBNLWSHKh2a30DoXe8/edit?usp=sharing"",""พัทลุง!I327"")"),25)</f>
        <v>25</v>
      </c>
      <c r="J432" s="400">
        <f ca="1">IFERROR(__xludf.DUMMYFUNCTION("IMPORTRANGE(""https://docs.google.com/spreadsheets/d/1IYY_tgx_IHuhSq3AJ5eI5OnqOPBNLWSHKh2a30DoXe8/edit?usp=sharing"",""พัทลุง!J327"")"),25)</f>
        <v>25</v>
      </c>
      <c r="K432" s="167">
        <f t="shared" ca="1" si="112"/>
        <v>100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IFERROR(__xludf.DUMMYFUNCTION("IMPORTRANGE(""https://docs.google.com/spreadsheets/d/1IYY_tgx_IHuhSq3AJ5eI5OnqOPBNLWSHKh2a30DoXe8/edit?usp=sharing"",""พัทลุง!J328"")"),1)</f>
        <v>1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IFERROR(__xludf.DUMMYFUNCTION("IMPORTRANGE(""https://docs.google.com/spreadsheets/d/1IYY_tgx_IHuhSq3AJ5eI5OnqOPBNLWSHKh2a30DoXe8/edit?usp=sharing"",""พัทลุง!J329"")"),1)</f>
        <v>1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IFERROR(__xludf.DUMMYFUNCTION("IMPORTRANGE(""https://docs.google.com/spreadsheets/d/1IYY_tgx_IHuhSq3AJ5eI5OnqOPBNLWSHKh2a30DoXe8/edit?usp=sharing"",""พัทลุง!I330"")"),25)</f>
        <v>25</v>
      </c>
      <c r="J435" s="416">
        <f ca="1">IFERROR(__xludf.DUMMYFUNCTION("IMPORTRANGE(""https://docs.google.com/spreadsheets/d/1IYY_tgx_IHuhSq3AJ5eI5OnqOPBNLWSHKh2a30DoXe8/edit?usp=sharing"",""พัทลุง!J330"")"),25)</f>
        <v>25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IFERROR(__xludf.DUMMYFUNCTION("IMPORTRANGE(""https://docs.google.com/spreadsheets/d/1IYY_tgx_IHuhSq3AJ5eI5OnqOPBNLWSHKh2a30DoXe8/edit?usp=sharing"",""พัทลุง!L330"")"),213900)</f>
        <v>213900</v>
      </c>
      <c r="M435" s="418"/>
      <c r="N435" s="418">
        <f ca="1">IFERROR(__xludf.DUMMYFUNCTION("IMPORTRANGE(""https://docs.google.com/spreadsheets/d/1IYY_tgx_IHuhSq3AJ5eI5OnqOPBNLWSHKh2a30DoXe8/edit?usp=sharing"",""พัทลุง!M330"")"),192120)</f>
        <v>192120</v>
      </c>
      <c r="O435" s="418">
        <f t="shared" ref="O435:O439" ca="1" si="113">+IF(L435&gt;0,N435*100/L435,0)</f>
        <v>89.817671809256666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IFERROR(__xludf.DUMMYFUNCTION("IMPORTRANGE(""https://docs.google.com/spreadsheets/d/1IYY_tgx_IHuhSq3AJ5eI5OnqOPBNLWSHKh2a30DoXe8/edit?usp=sharing"",""พัทลุง!L331"")"),0)</f>
        <v>0</v>
      </c>
      <c r="M436" s="168"/>
      <c r="N436" s="175">
        <f ca="1">IFERROR(__xludf.DUMMYFUNCTION("IMPORTRANGE(""https://docs.google.com/spreadsheets/d/1IYY_tgx_IHuhSq3AJ5eI5OnqOPBNLWSHKh2a30DoXe8/edit?usp=sharing"",""พัทลุง!M331"")"),0)</f>
        <v>0</v>
      </c>
      <c r="O436" s="175">
        <f t="shared" ca="1" si="113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384" t="s">
        <v>277</v>
      </c>
      <c r="H437" s="165" t="s">
        <v>12</v>
      </c>
      <c r="I437" s="166"/>
      <c r="J437" s="166"/>
      <c r="K437" s="167"/>
      <c r="L437" s="571">
        <f ca="1">IFERROR(__xludf.DUMMYFUNCTION("IMPORTRANGE(""https://docs.google.com/spreadsheets/d/1IYY_tgx_IHuhSq3AJ5eI5OnqOPBNLWSHKh2a30DoXe8/edit?usp=sharing"",""พัทลุง!L332"")"),213900)</f>
        <v>213900</v>
      </c>
      <c r="M437" s="169"/>
      <c r="N437" s="175">
        <f ca="1">IFERROR(__xludf.DUMMYFUNCTION("IMPORTRANGE(""https://docs.google.com/spreadsheets/d/1IYY_tgx_IHuhSq3AJ5eI5OnqOPBNLWSHKh2a30DoXe8/edit?usp=sharing"",""พัทลุง!M332"")"),192120)</f>
        <v>192120</v>
      </c>
      <c r="O437" s="175">
        <f t="shared" ca="1" si="113"/>
        <v>89.817671809256666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IFERROR(__xludf.DUMMYFUNCTION("IMPORTRANGE(""https://docs.google.com/spreadsheets/d/1IYY_tgx_IHuhSq3AJ5eI5OnqOPBNLWSHKh2a30DoXe8/edit?usp=sharing"",""พัทลุง!L333"")"),0)</f>
        <v>0</v>
      </c>
      <c r="M438" s="175"/>
      <c r="N438" s="175">
        <f ca="1">IFERROR(__xludf.DUMMYFUNCTION("IMPORTRANGE(""https://docs.google.com/spreadsheets/d/1IYY_tgx_IHuhSq3AJ5eI5OnqOPBNLWSHKh2a30DoXe8/edit?usp=sharing"",""พัทลุง!M333"")"),0)</f>
        <v>0</v>
      </c>
      <c r="O438" s="175">
        <f t="shared" ca="1" si="113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IFERROR(__xludf.DUMMYFUNCTION("IMPORTRANGE(""https://docs.google.com/spreadsheets/d/1IYY_tgx_IHuhSq3AJ5eI5OnqOPBNLWSHKh2a30DoXe8/edit?usp=sharing"",""พัทลุง!L334"")"),110900)</f>
        <v>110900</v>
      </c>
      <c r="M439" s="175"/>
      <c r="N439" s="175">
        <f ca="1">IFERROR(__xludf.DUMMYFUNCTION("IMPORTRANGE(""https://docs.google.com/spreadsheets/d/1IYY_tgx_IHuhSq3AJ5eI5OnqOPBNLWSHKh2a30DoXe8/edit?usp=sharing"",""พัทลุง!M334"")"),89120)</f>
        <v>89120</v>
      </c>
      <c r="O439" s="175">
        <f t="shared" ca="1" si="113"/>
        <v>80.360685302073946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IFERROR(__xludf.DUMMYFUNCTION("IMPORTRANGE(""https://docs.google.com/spreadsheets/d/1IYY_tgx_IHuhSq3AJ5eI5OnqOPBNLWSHKh2a30DoXe8/edit?usp=sharing"",""พัทลุง!M335"")"),57190)</f>
        <v>57190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IFERROR(__xludf.DUMMYFUNCTION("IMPORTRANGE(""https://docs.google.com/spreadsheets/d/1IYY_tgx_IHuhSq3AJ5eI5OnqOPBNLWSHKh2a30DoXe8/edit?usp=sharing"",""พัทลุง!M336"")"),0)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IFERROR(__xludf.DUMMYFUNCTION("IMPORTRANGE(""https://docs.google.com/spreadsheets/d/1IYY_tgx_IHuhSq3AJ5eI5OnqOPBNLWSHKh2a30DoXe8/edit?usp=sharing"",""พัทลุง!M337"")"),0)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IFERROR(__xludf.DUMMYFUNCTION("IMPORTRANGE(""https://docs.google.com/spreadsheets/d/1IYY_tgx_IHuhSq3AJ5eI5OnqOPBNLWSHKh2a30DoXe8/edit?usp=sharing"",""พัทลุง!M338"")"),31930)</f>
        <v>31930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IFERROR(__xludf.DUMMYFUNCTION("IMPORTRANGE(""https://docs.google.com/spreadsheets/d/1IYY_tgx_IHuhSq3AJ5eI5OnqOPBNLWSHKh2a30DoXe8/edit?usp=sharing"",""พัทลุง!J340"")"),0)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IFERROR(__xludf.DUMMYFUNCTION("IMPORTRANGE(""https://docs.google.com/spreadsheets/d/1IYY_tgx_IHuhSq3AJ5eI5OnqOPBNLWSHKh2a30DoXe8/edit?usp=sharing"",""พัทลุง!J341"")"),1)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IFERROR(__xludf.DUMMYFUNCTION("IMPORTRANGE(""https://docs.google.com/spreadsheets/d/1IYY_tgx_IHuhSq3AJ5eI5OnqOPBNLWSHKh2a30DoXe8/edit?usp=sharing"",""พัทลุง!J342"")"),1)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IFERROR(__xludf.DUMMYFUNCTION("IMPORTRANGE(""https://docs.google.com/spreadsheets/d/1IYY_tgx_IHuhSq3AJ5eI5OnqOPBNLWSHKh2a30DoXe8/edit?usp=sharing"",""พัทลุง!J343"")"),1)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IFERROR(__xludf.DUMMYFUNCTION("IMPORTRANGE(""https://docs.google.com/spreadsheets/d/1IYY_tgx_IHuhSq3AJ5eI5OnqOPBNLWSHKh2a30DoXe8/edit?usp=sharing"",""พัทลุง!I344"")"),25)</f>
        <v>25</v>
      </c>
      <c r="J449" s="207">
        <f ca="1">IFERROR(__xludf.DUMMYFUNCTION("IMPORTRANGE(""https://docs.google.com/spreadsheets/d/1IYY_tgx_IHuhSq3AJ5eI5OnqOPBNLWSHKh2a30DoXe8/edit?usp=sharing"",""พัทลุง!J344"")"),25)</f>
        <v>25</v>
      </c>
      <c r="K449" s="167">
        <f t="shared" ref="K449:K452" ca="1" si="114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IFERROR(__xludf.DUMMYFUNCTION("IMPORTRANGE(""https://docs.google.com/spreadsheets/d/1IYY_tgx_IHuhSq3AJ5eI5OnqOPBNLWSHKh2a30DoXe8/edit?usp=sharing"",""พัทลุง!I345"")"),25)</f>
        <v>25</v>
      </c>
      <c r="J450" s="195">
        <f ca="1">IFERROR(__xludf.DUMMYFUNCTION("IMPORTRANGE(""https://docs.google.com/spreadsheets/d/1IYY_tgx_IHuhSq3AJ5eI5OnqOPBNLWSHKh2a30DoXe8/edit?usp=sharing"",""พัทลุง!J345"")"),25)</f>
        <v>25</v>
      </c>
      <c r="K450" s="167">
        <f t="shared" ca="1" si="114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IFERROR(__xludf.DUMMYFUNCTION("IMPORTRANGE(""https://docs.google.com/spreadsheets/d/1IYY_tgx_IHuhSq3AJ5eI5OnqOPBNLWSHKh2a30DoXe8/edit?usp=sharing"",""พัทลุง!I346"")"),0)</f>
        <v>0</v>
      </c>
      <c r="J451" s="194">
        <f ca="1">IFERROR(__xludf.DUMMYFUNCTION("IMPORTRANGE(""https://docs.google.com/spreadsheets/d/1IYY_tgx_IHuhSq3AJ5eI5OnqOPBNLWSHKh2a30DoXe8/edit?usp=sharing"",""พัทลุง!J346"")"),0)</f>
        <v>0</v>
      </c>
      <c r="K451" s="167">
        <f t="shared" ca="1" si="114"/>
        <v>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IFERROR(__xludf.DUMMYFUNCTION("IMPORTRANGE(""https://docs.google.com/spreadsheets/d/1IYY_tgx_IHuhSq3AJ5eI5OnqOPBNLWSHKh2a30DoXe8/edit?usp=sharing"",""พัทลุง!I347"")"),0)</f>
        <v>0</v>
      </c>
      <c r="J452" s="194">
        <f ca="1">IFERROR(__xludf.DUMMYFUNCTION("IMPORTRANGE(""https://docs.google.com/spreadsheets/d/1IYY_tgx_IHuhSq3AJ5eI5OnqOPBNLWSHKh2a30DoXe8/edit?usp=sharing"",""พัทลุง!J347"")"),0)</f>
        <v>0</v>
      </c>
      <c r="K452" s="167">
        <f t="shared" ca="1" si="114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IFERROR(__xludf.DUMMYFUNCTION("IMPORTRANGE(""https://docs.google.com/spreadsheets/d/1IYY_tgx_IHuhSq3AJ5eI5OnqOPBNLWSHKh2a30DoXe8/edit?usp=sharing"",""พัทลุง!J348"")"),1)</f>
        <v>1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IFERROR(__xludf.DUMMYFUNCTION("IMPORTRANGE(""https://docs.google.com/spreadsheets/d/1IYY_tgx_IHuhSq3AJ5eI5OnqOPBNLWSHKh2a30DoXe8/edit?usp=sharing"",""พัทลุง!J349"")"),1)</f>
        <v>1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IFERROR(__xludf.DUMMYFUNCTION("IMPORTRANGE(""https://docs.google.com/spreadsheets/d/1IYY_tgx_IHuhSq3AJ5eI5OnqOPBNLWSHKh2a30DoXe8/edit?usp=sharing"",""พัทลุง!I350"")"),29774)</f>
        <v>29774</v>
      </c>
      <c r="J455" s="377">
        <f ca="1">IFERROR(__xludf.DUMMYFUNCTION("IMPORTRANGE(""https://docs.google.com/spreadsheets/d/1IYY_tgx_IHuhSq3AJ5eI5OnqOPBNLWSHKh2a30DoXe8/edit?usp=sharing"",""พัทลุง!J350"")"),30614)</f>
        <v>30614</v>
      </c>
      <c r="K455" s="378">
        <f ca="1">IF(I455&gt;0,J455*100/I455,0)</f>
        <v>102.82125344260092</v>
      </c>
      <c r="L455" s="379">
        <f ca="1">IFERROR(__xludf.DUMMYFUNCTION("IMPORTRANGE(""https://docs.google.com/spreadsheets/d/1IYY_tgx_IHuhSq3AJ5eI5OnqOPBNLWSHKh2a30DoXe8/edit?usp=sharing"",""พัทลุง!L350"")"),325252)</f>
        <v>325252</v>
      </c>
      <c r="M455" s="379"/>
      <c r="N455" s="379">
        <f ca="1">IFERROR(__xludf.DUMMYFUNCTION("IMPORTRANGE(""https://docs.google.com/spreadsheets/d/1IYY_tgx_IHuhSq3AJ5eI5OnqOPBNLWSHKh2a30DoXe8/edit?usp=sharing"",""พัทลุง!M350"")"),191315.82)</f>
        <v>191315.82</v>
      </c>
      <c r="O455" s="379">
        <f t="shared" ref="O455:O459" ca="1" si="115">+IF(L455&gt;0,N455*100/L455,0)</f>
        <v>58.820797412467869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IFERROR(__xludf.DUMMYFUNCTION("IMPORTRANGE(""https://docs.google.com/spreadsheets/d/1IYY_tgx_IHuhSq3AJ5eI5OnqOPBNLWSHKh2a30DoXe8/edit?usp=sharing"",""พัทลุง!L351"")"),0)</f>
        <v>0</v>
      </c>
      <c r="M456" s="168"/>
      <c r="N456" s="175">
        <f ca="1">IFERROR(__xludf.DUMMYFUNCTION("IMPORTRANGE(""https://docs.google.com/spreadsheets/d/1IYY_tgx_IHuhSq3AJ5eI5OnqOPBNLWSHKh2a30DoXe8/edit?usp=sharing"",""พัทลุง!M351"")"),0)</f>
        <v>0</v>
      </c>
      <c r="O456" s="175">
        <f t="shared" ca="1" si="115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IFERROR(__xludf.DUMMYFUNCTION("IMPORTRANGE(""https://docs.google.com/spreadsheets/d/1IYY_tgx_IHuhSq3AJ5eI5OnqOPBNLWSHKh2a30DoXe8/edit?usp=sharing"",""พัทลุง!L352"")"),325252)</f>
        <v>325252</v>
      </c>
      <c r="M457" s="169"/>
      <c r="N457" s="175">
        <f ca="1">IFERROR(__xludf.DUMMYFUNCTION("IMPORTRANGE(""https://docs.google.com/spreadsheets/d/1IYY_tgx_IHuhSq3AJ5eI5OnqOPBNLWSHKh2a30DoXe8/edit?usp=sharing"",""พัทลุง!M352"")"),191315.82)</f>
        <v>191315.82</v>
      </c>
      <c r="O457" s="175">
        <f t="shared" ca="1" si="115"/>
        <v>58.820797412467869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IFERROR(__xludf.DUMMYFUNCTION("IMPORTRANGE(""https://docs.google.com/spreadsheets/d/1IYY_tgx_IHuhSq3AJ5eI5OnqOPBNLWSHKh2a30DoXe8/edit?usp=sharing"",""พัทลุง!L353"")"),0)</f>
        <v>0</v>
      </c>
      <c r="M458" s="175"/>
      <c r="N458" s="175">
        <f ca="1">IFERROR(__xludf.DUMMYFUNCTION("IMPORTRANGE(""https://docs.google.com/spreadsheets/d/1IYY_tgx_IHuhSq3AJ5eI5OnqOPBNLWSHKh2a30DoXe8/edit?usp=sharing"",""พัทลุง!M353"")"),0)</f>
        <v>0</v>
      </c>
      <c r="O458" s="175">
        <f t="shared" ca="1" si="115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IFERROR(__xludf.DUMMYFUNCTION("IMPORTRANGE(""https://docs.google.com/spreadsheets/d/1IYY_tgx_IHuhSq3AJ5eI5OnqOPBNLWSHKh2a30DoXe8/edit?usp=sharing"",""พัทลุง!L354"")"),325252)</f>
        <v>325252</v>
      </c>
      <c r="M459" s="175"/>
      <c r="N459" s="175">
        <f ca="1">IFERROR(__xludf.DUMMYFUNCTION("IMPORTRANGE(""https://docs.google.com/spreadsheets/d/1IYY_tgx_IHuhSq3AJ5eI5OnqOPBNLWSHKh2a30DoXe8/edit?usp=sharing"",""พัทลุง!M354"")"),191315.82)</f>
        <v>191315.82</v>
      </c>
      <c r="O459" s="175">
        <f t="shared" ca="1" si="115"/>
        <v>58.820797412467869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IFERROR(__xludf.DUMMYFUNCTION("IMPORTRANGE(""https://docs.google.com/spreadsheets/d/1IYY_tgx_IHuhSq3AJ5eI5OnqOPBNLWSHKh2a30DoXe8/edit?usp=sharing"",""พัทลุง!M355"")"),0)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IFERROR(__xludf.DUMMYFUNCTION("IMPORTRANGE(""https://docs.google.com/spreadsheets/d/1IYY_tgx_IHuhSq3AJ5eI5OnqOPBNLWSHKh2a30DoXe8/edit?usp=sharing"",""พัทลุง!M356"")"),0)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IFERROR(__xludf.DUMMYFUNCTION("IMPORTRANGE(""https://docs.google.com/spreadsheets/d/1IYY_tgx_IHuhSq3AJ5eI5OnqOPBNLWSHKh2a30DoXe8/edit?usp=sharing"",""พัทลุง!M357"")"),104630.48)</f>
        <v>104630.48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IFERROR(__xludf.DUMMYFUNCTION("IMPORTRANGE(""https://docs.google.com/spreadsheets/d/1IYY_tgx_IHuhSq3AJ5eI5OnqOPBNLWSHKh2a30DoXe8/edit?usp=sharing"",""พัทลุง!M358"")"),86685.34)</f>
        <v>86685.34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IFERROR(__xludf.DUMMYFUNCTION("IMPORTRANGE(""https://docs.google.com/spreadsheets/d/1IYY_tgx_IHuhSq3AJ5eI5OnqOPBNLWSHKh2a30DoXe8/edit?usp=sharing"",""พัทลุง!I359"")"),29774)</f>
        <v>29774</v>
      </c>
      <c r="J464" s="273">
        <f ca="1">IFERROR(__xludf.DUMMYFUNCTION("IMPORTRANGE(""https://docs.google.com/spreadsheets/d/1IYY_tgx_IHuhSq3AJ5eI5OnqOPBNLWSHKh2a30DoXe8/edit?usp=sharing"",""พัทลุง!J359"")"),30614)</f>
        <v>30614</v>
      </c>
      <c r="K464" s="274">
        <f t="shared" ref="K464:K515" ca="1" si="116">IF(I464&gt;0,J464*100/I464,0)</f>
        <v>102.82125344260092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IFERROR(__xludf.DUMMYFUNCTION("IMPORTRANGE(""https://docs.google.com/spreadsheets/d/1IYY_tgx_IHuhSq3AJ5eI5OnqOPBNLWSHKh2a30DoXe8/edit?usp=sharing"",""พัทลุง!I360"")"),29774)</f>
        <v>29774</v>
      </c>
      <c r="J465" s="426">
        <f ca="1">IFERROR(__xludf.DUMMYFUNCTION("IMPORTRANGE(""https://docs.google.com/spreadsheets/d/1IYY_tgx_IHuhSq3AJ5eI5OnqOPBNLWSHKh2a30DoXe8/edit?usp=sharing"",""พัทลุง!J360"")"),29776)</f>
        <v>29776</v>
      </c>
      <c r="K465" s="208">
        <f t="shared" ca="1" si="116"/>
        <v>100.00671727010143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IFERROR(__xludf.DUMMYFUNCTION("IMPORTRANGE(""https://docs.google.com/spreadsheets/d/1IYY_tgx_IHuhSq3AJ5eI5OnqOPBNLWSHKh2a30DoXe8/edit?usp=sharing"",""พัทลุง!I361"")"),5540)</f>
        <v>5540</v>
      </c>
      <c r="J466" s="426">
        <f ca="1">IFERROR(__xludf.DUMMYFUNCTION("IMPORTRANGE(""https://docs.google.com/spreadsheets/d/1IYY_tgx_IHuhSq3AJ5eI5OnqOPBNLWSHKh2a30DoXe8/edit?usp=sharing"",""พัทลุง!J361"")"),5540)</f>
        <v>5540</v>
      </c>
      <c r="K466" s="208">
        <f t="shared" ca="1" si="116"/>
        <v>100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IFERROR(__xludf.DUMMYFUNCTION("IMPORTRANGE(""https://docs.google.com/spreadsheets/d/1IYY_tgx_IHuhSq3AJ5eI5OnqOPBNLWSHKh2a30DoXe8/edit?usp=sharing"",""พัทลุง!I362"")"),0)</f>
        <v>0</v>
      </c>
      <c r="J467" s="195">
        <f ca="1">IFERROR(__xludf.DUMMYFUNCTION("IMPORTRANGE(""https://docs.google.com/spreadsheets/d/1IYY_tgx_IHuhSq3AJ5eI5OnqOPBNLWSHKh2a30DoXe8/edit?usp=sharing"",""พัทลุง!J362"")"),25982)</f>
        <v>25982</v>
      </c>
      <c r="K467" s="167">
        <f t="shared" ca="1" si="116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IFERROR(__xludf.DUMMYFUNCTION("IMPORTRANGE(""https://docs.google.com/spreadsheets/d/1IYY_tgx_IHuhSq3AJ5eI5OnqOPBNLWSHKh2a30DoXe8/edit?usp=sharing"",""พัทลุง!I363"")"),0)</f>
        <v>0</v>
      </c>
      <c r="J468" s="195">
        <f ca="1">IFERROR(__xludf.DUMMYFUNCTION("IMPORTRANGE(""https://docs.google.com/spreadsheets/d/1IYY_tgx_IHuhSq3AJ5eI5OnqOPBNLWSHKh2a30DoXe8/edit?usp=sharing"",""พัทลุง!J363"")"),4969)</f>
        <v>4969</v>
      </c>
      <c r="K468" s="167">
        <f t="shared" ca="1" si="116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IFERROR(__xludf.DUMMYFUNCTION("IMPORTRANGE(""https://docs.google.com/spreadsheets/d/1IYY_tgx_IHuhSq3AJ5eI5OnqOPBNLWSHKh2a30DoXe8/edit?usp=sharing"",""พัทลุง!I364"")"),0)</f>
        <v>0</v>
      </c>
      <c r="J469" s="195">
        <f ca="1">IFERROR(__xludf.DUMMYFUNCTION("IMPORTRANGE(""https://docs.google.com/spreadsheets/d/1IYY_tgx_IHuhSq3AJ5eI5OnqOPBNLWSHKh2a30DoXe8/edit?usp=sharing"",""พัทลุง!J364"")"),3524)</f>
        <v>3524</v>
      </c>
      <c r="K469" s="167">
        <f t="shared" ca="1" si="116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IFERROR(__xludf.DUMMYFUNCTION("IMPORTRANGE(""https://docs.google.com/spreadsheets/d/1IYY_tgx_IHuhSq3AJ5eI5OnqOPBNLWSHKh2a30DoXe8/edit?usp=sharing"",""พัทลุง!I365"")"),0)</f>
        <v>0</v>
      </c>
      <c r="J470" s="195">
        <f ca="1">IFERROR(__xludf.DUMMYFUNCTION("IMPORTRANGE(""https://docs.google.com/spreadsheets/d/1IYY_tgx_IHuhSq3AJ5eI5OnqOPBNLWSHKh2a30DoXe8/edit?usp=sharing"",""พัทลุง!J365"")"),521)</f>
        <v>521</v>
      </c>
      <c r="K470" s="167">
        <f t="shared" ca="1" si="116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IFERROR(__xludf.DUMMYFUNCTION("IMPORTRANGE(""https://docs.google.com/spreadsheets/d/1IYY_tgx_IHuhSq3AJ5eI5OnqOPBNLWSHKh2a30DoXe8/edit?usp=sharing"",""พัทลุง!I366"")"),0)</f>
        <v>0</v>
      </c>
      <c r="J471" s="195">
        <f ca="1">IFERROR(__xludf.DUMMYFUNCTION("IMPORTRANGE(""https://docs.google.com/spreadsheets/d/1IYY_tgx_IHuhSq3AJ5eI5OnqOPBNLWSHKh2a30DoXe8/edit?usp=sharing"",""พัทลุง!J366"")"),270)</f>
        <v>270</v>
      </c>
      <c r="K471" s="167">
        <f t="shared" ca="1" si="116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IFERROR(__xludf.DUMMYFUNCTION("IMPORTRANGE(""https://docs.google.com/spreadsheets/d/1IYY_tgx_IHuhSq3AJ5eI5OnqOPBNLWSHKh2a30DoXe8/edit?usp=sharing"",""พัทลุง!I367"")"),0)</f>
        <v>0</v>
      </c>
      <c r="J472" s="195">
        <f ca="1">IFERROR(__xludf.DUMMYFUNCTION("IMPORTRANGE(""https://docs.google.com/spreadsheets/d/1IYY_tgx_IHuhSq3AJ5eI5OnqOPBNLWSHKh2a30DoXe8/edit?usp=sharing"",""พัทลุง!J367"")"),50)</f>
        <v>50</v>
      </c>
      <c r="K472" s="167">
        <f t="shared" ca="1" si="116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IFERROR(__xludf.DUMMYFUNCTION("IMPORTRANGE(""https://docs.google.com/spreadsheets/d/1IYY_tgx_IHuhSq3AJ5eI5OnqOPBNLWSHKh2a30DoXe8/edit?usp=sharing"",""พัทลุง!I368"")"),29774)</f>
        <v>29774</v>
      </c>
      <c r="J473" s="426">
        <f ca="1">IFERROR(__xludf.DUMMYFUNCTION("IMPORTRANGE(""https://docs.google.com/spreadsheets/d/1IYY_tgx_IHuhSq3AJ5eI5OnqOPBNLWSHKh2a30DoXe8/edit?usp=sharing"",""พัทลุง!J368"")"),29775)</f>
        <v>29775</v>
      </c>
      <c r="K473" s="208">
        <f t="shared" ca="1" si="116"/>
        <v>100.00335863505072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IFERROR(__xludf.DUMMYFUNCTION("IMPORTRANGE(""https://docs.google.com/spreadsheets/d/1IYY_tgx_IHuhSq3AJ5eI5OnqOPBNLWSHKh2a30DoXe8/edit?usp=sharing"",""พัทลุง!I369"")"),5540)</f>
        <v>5540</v>
      </c>
      <c r="J474" s="426">
        <f ca="1">IFERROR(__xludf.DUMMYFUNCTION("IMPORTRANGE(""https://docs.google.com/spreadsheets/d/1IYY_tgx_IHuhSq3AJ5eI5OnqOPBNLWSHKh2a30DoXe8/edit?usp=sharing"",""พัทลุง!J369"")"),5540)</f>
        <v>5540</v>
      </c>
      <c r="K474" s="208">
        <f t="shared" ca="1" si="116"/>
        <v>100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IFERROR(__xludf.DUMMYFUNCTION("IMPORTRANGE(""https://docs.google.com/spreadsheets/d/1IYY_tgx_IHuhSq3AJ5eI5OnqOPBNLWSHKh2a30DoXe8/edit?usp=sharing"",""พัทลุง!I370"")"),0)</f>
        <v>0</v>
      </c>
      <c r="J475" s="195">
        <f ca="1">IFERROR(__xludf.DUMMYFUNCTION("IMPORTRANGE(""https://docs.google.com/spreadsheets/d/1IYY_tgx_IHuhSq3AJ5eI5OnqOPBNLWSHKh2a30DoXe8/edit?usp=sharing"",""พัทลุง!J370"")"),28752)</f>
        <v>28752</v>
      </c>
      <c r="K475" s="167">
        <f t="shared" ca="1" si="116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IFERROR(__xludf.DUMMYFUNCTION("IMPORTRANGE(""https://docs.google.com/spreadsheets/d/1IYY_tgx_IHuhSq3AJ5eI5OnqOPBNLWSHKh2a30DoXe8/edit?usp=sharing"",""พัทลุง!I371"")"),0)</f>
        <v>0</v>
      </c>
      <c r="J476" s="195">
        <f ca="1">IFERROR(__xludf.DUMMYFUNCTION("IMPORTRANGE(""https://docs.google.com/spreadsheets/d/1IYY_tgx_IHuhSq3AJ5eI5OnqOPBNLWSHKh2a30DoXe8/edit?usp=sharing"",""พัทลุง!J371"")"),5349)</f>
        <v>5349</v>
      </c>
      <c r="K476" s="167">
        <f t="shared" ca="1" si="116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IFERROR(__xludf.DUMMYFUNCTION("IMPORTRANGE(""https://docs.google.com/spreadsheets/d/1IYY_tgx_IHuhSq3AJ5eI5OnqOPBNLWSHKh2a30DoXe8/edit?usp=sharing"",""พัทลุง!I372"")"),0)</f>
        <v>0</v>
      </c>
      <c r="J477" s="195">
        <f ca="1">IFERROR(__xludf.DUMMYFUNCTION("IMPORTRANGE(""https://docs.google.com/spreadsheets/d/1IYY_tgx_IHuhSq3AJ5eI5OnqOPBNLWSHKh2a30DoXe8/edit?usp=sharing"",""พัทลุง!J372"")"),589)</f>
        <v>589</v>
      </c>
      <c r="K477" s="167">
        <f t="shared" ca="1" si="116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IFERROR(__xludf.DUMMYFUNCTION("IMPORTRANGE(""https://docs.google.com/spreadsheets/d/1IYY_tgx_IHuhSq3AJ5eI5OnqOPBNLWSHKh2a30DoXe8/edit?usp=sharing"",""พัทลุง!I373"")"),0)</f>
        <v>0</v>
      </c>
      <c r="J478" s="195">
        <f ca="1">IFERROR(__xludf.DUMMYFUNCTION("IMPORTRANGE(""https://docs.google.com/spreadsheets/d/1IYY_tgx_IHuhSq3AJ5eI5OnqOPBNLWSHKh2a30DoXe8/edit?usp=sharing"",""พัทลุง!J373"")"),123)</f>
        <v>123</v>
      </c>
      <c r="K478" s="167">
        <f t="shared" ca="1" si="116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IFERROR(__xludf.DUMMYFUNCTION("IMPORTRANGE(""https://docs.google.com/spreadsheets/d/1IYY_tgx_IHuhSq3AJ5eI5OnqOPBNLWSHKh2a30DoXe8/edit?usp=sharing"",""พัทลุง!I374"")"),0)</f>
        <v>0</v>
      </c>
      <c r="J479" s="195">
        <f ca="1">IFERROR(__xludf.DUMMYFUNCTION("IMPORTRANGE(""https://docs.google.com/spreadsheets/d/1IYY_tgx_IHuhSq3AJ5eI5OnqOPBNLWSHKh2a30DoXe8/edit?usp=sharing"",""พัทลุง!J374"")"),434)</f>
        <v>434</v>
      </c>
      <c r="K479" s="167">
        <f t="shared" ca="1" si="116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IFERROR(__xludf.DUMMYFUNCTION("IMPORTRANGE(""https://docs.google.com/spreadsheets/d/1IYY_tgx_IHuhSq3AJ5eI5OnqOPBNLWSHKh2a30DoXe8/edit?usp=sharing"",""พัทลุง!I375"")"),0)</f>
        <v>0</v>
      </c>
      <c r="J480" s="195">
        <f ca="1">IFERROR(__xludf.DUMMYFUNCTION("IMPORTRANGE(""https://docs.google.com/spreadsheets/d/1IYY_tgx_IHuhSq3AJ5eI5OnqOPBNLWSHKh2a30DoXe8/edit?usp=sharing"",""พัทลุง!J375"")"),68)</f>
        <v>68</v>
      </c>
      <c r="K480" s="167">
        <f t="shared" ca="1" si="116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IFERROR(__xludf.DUMMYFUNCTION("IMPORTRANGE(""https://docs.google.com/spreadsheets/d/1IYY_tgx_IHuhSq3AJ5eI5OnqOPBNLWSHKh2a30DoXe8/edit?usp=sharing"",""พัทลุง!I376"")"),29774)</f>
        <v>29774</v>
      </c>
      <c r="J481" s="426">
        <f ca="1">IFERROR(__xludf.DUMMYFUNCTION("IMPORTRANGE(""https://docs.google.com/spreadsheets/d/1IYY_tgx_IHuhSq3AJ5eI5OnqOPBNLWSHKh2a30DoXe8/edit?usp=sharing"",""พัทลุง!J376"")"),30614)</f>
        <v>30614</v>
      </c>
      <c r="K481" s="208">
        <f t="shared" ca="1" si="116"/>
        <v>102.82125344260092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IFERROR(__xludf.DUMMYFUNCTION("IMPORTRANGE(""https://docs.google.com/spreadsheets/d/1IYY_tgx_IHuhSq3AJ5eI5OnqOPBNLWSHKh2a30DoXe8/edit?usp=sharing"",""พัทลุง!I377"")"),5540)</f>
        <v>5540</v>
      </c>
      <c r="J482" s="426">
        <f ca="1">IFERROR(__xludf.DUMMYFUNCTION("IMPORTRANGE(""https://docs.google.com/spreadsheets/d/1IYY_tgx_IHuhSq3AJ5eI5OnqOPBNLWSHKh2a30DoXe8/edit?usp=sharing"",""พัทลุง!J377"")"),5647)</f>
        <v>5647</v>
      </c>
      <c r="K482" s="208">
        <f t="shared" ca="1" si="116"/>
        <v>101.93140794223827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IFERROR(__xludf.DUMMYFUNCTION("IMPORTRANGE(""https://docs.google.com/spreadsheets/d/1IYY_tgx_IHuhSq3AJ5eI5OnqOPBNLWSHKh2a30DoXe8/edit?usp=sharing"",""พัทลุง!I378"")"),0)</f>
        <v>0</v>
      </c>
      <c r="J483" s="195">
        <f ca="1">IFERROR(__xludf.DUMMYFUNCTION("IMPORTRANGE(""https://docs.google.com/spreadsheets/d/1IYY_tgx_IHuhSq3AJ5eI5OnqOPBNLWSHKh2a30DoXe8/edit?usp=sharing"",""พัทลุง!J378"")"),26399)</f>
        <v>26399</v>
      </c>
      <c r="K483" s="167">
        <f t="shared" ca="1" si="116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IFERROR(__xludf.DUMMYFUNCTION("IMPORTRANGE(""https://docs.google.com/spreadsheets/d/1IYY_tgx_IHuhSq3AJ5eI5OnqOPBNLWSHKh2a30DoXe8/edit?usp=sharing"",""พัทลุง!I379"")"),0)</f>
        <v>0</v>
      </c>
      <c r="J484" s="195">
        <f ca="1">IFERROR(__xludf.DUMMYFUNCTION("IMPORTRANGE(""https://docs.google.com/spreadsheets/d/1IYY_tgx_IHuhSq3AJ5eI5OnqOPBNLWSHKh2a30DoXe8/edit?usp=sharing"",""พัทลุง!J379"")"),5068)</f>
        <v>5068</v>
      </c>
      <c r="K484" s="167">
        <f t="shared" ca="1" si="116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IFERROR(__xludf.DUMMYFUNCTION("IMPORTRANGE(""https://docs.google.com/spreadsheets/d/1IYY_tgx_IHuhSq3AJ5eI5OnqOPBNLWSHKh2a30DoXe8/edit?usp=sharing"",""พัทลุง!I380"")"),0)</f>
        <v>0</v>
      </c>
      <c r="J485" s="195">
        <f ca="1">IFERROR(__xludf.DUMMYFUNCTION("IMPORTRANGE(""https://docs.google.com/spreadsheets/d/1IYY_tgx_IHuhSq3AJ5eI5OnqOPBNLWSHKh2a30DoXe8/edit?usp=sharing"",""พัทลุง!J380"")"),2942)</f>
        <v>2942</v>
      </c>
      <c r="K485" s="167">
        <f t="shared" ca="1" si="116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IFERROR(__xludf.DUMMYFUNCTION("IMPORTRANGE(""https://docs.google.com/spreadsheets/d/1IYY_tgx_IHuhSq3AJ5eI5OnqOPBNLWSHKh2a30DoXe8/edit?usp=sharing"",""พัทลุง!I381"")"),0)</f>
        <v>0</v>
      </c>
      <c r="J486" s="195">
        <f ca="1">IFERROR(__xludf.DUMMYFUNCTION("IMPORTRANGE(""https://docs.google.com/spreadsheets/d/1IYY_tgx_IHuhSq3AJ5eI5OnqOPBNLWSHKh2a30DoXe8/edit?usp=sharing"",""พัทลุง!J381"")"),404)</f>
        <v>404</v>
      </c>
      <c r="K486" s="167">
        <f t="shared" ca="1" si="116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IFERROR(__xludf.DUMMYFUNCTION("IMPORTRANGE(""https://docs.google.com/spreadsheets/d/1IYY_tgx_IHuhSq3AJ5eI5OnqOPBNLWSHKh2a30DoXe8/edit?usp=sharing"",""พัทลุง!I382"")"),0)</f>
        <v>0</v>
      </c>
      <c r="J487" s="426">
        <f ca="1">IFERROR(__xludf.DUMMYFUNCTION("IMPORTRANGE(""https://docs.google.com/spreadsheets/d/1IYY_tgx_IHuhSq3AJ5eI5OnqOPBNLWSHKh2a30DoXe8/edit?usp=sharing"",""พัทลุง!J382"")"),434)</f>
        <v>434</v>
      </c>
      <c r="K487" s="167">
        <f t="shared" ca="1" si="116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IFERROR(__xludf.DUMMYFUNCTION("IMPORTRANGE(""https://docs.google.com/spreadsheets/d/1IYY_tgx_IHuhSq3AJ5eI5OnqOPBNLWSHKh2a30DoXe8/edit?usp=sharing"",""พัทลุง!I383"")"),0)</f>
        <v>0</v>
      </c>
      <c r="J488" s="426">
        <f ca="1">IFERROR(__xludf.DUMMYFUNCTION("IMPORTRANGE(""https://docs.google.com/spreadsheets/d/1IYY_tgx_IHuhSq3AJ5eI5OnqOPBNLWSHKh2a30DoXe8/edit?usp=sharing"",""พัทลุง!J383"")"),68)</f>
        <v>68</v>
      </c>
      <c r="K488" s="167">
        <f t="shared" ca="1" si="116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IFERROR(__xludf.DUMMYFUNCTION("IMPORTRANGE(""https://docs.google.com/spreadsheets/d/1IYY_tgx_IHuhSq3AJ5eI5OnqOPBNLWSHKh2a30DoXe8/edit?usp=sharing"",""พัทลุง!I384"")"),0)</f>
        <v>0</v>
      </c>
      <c r="J489" s="195">
        <f ca="1">IFERROR(__xludf.DUMMYFUNCTION("IMPORTRANGE(""https://docs.google.com/spreadsheets/d/1IYY_tgx_IHuhSq3AJ5eI5OnqOPBNLWSHKh2a30DoXe8/edit?usp=sharing"",""พัทลุง!J384"")"),434)</f>
        <v>434</v>
      </c>
      <c r="K489" s="167">
        <f t="shared" ca="1" si="116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IFERROR(__xludf.DUMMYFUNCTION("IMPORTRANGE(""https://docs.google.com/spreadsheets/d/1IYY_tgx_IHuhSq3AJ5eI5OnqOPBNLWSHKh2a30DoXe8/edit?usp=sharing"",""พัทลุง!I385"")"),0)</f>
        <v>0</v>
      </c>
      <c r="J490" s="195">
        <f ca="1">IFERROR(__xludf.DUMMYFUNCTION("IMPORTRANGE(""https://docs.google.com/spreadsheets/d/1IYY_tgx_IHuhSq3AJ5eI5OnqOPBNLWSHKh2a30DoXe8/edit?usp=sharing"",""พัทลุง!J385"")"),68)</f>
        <v>68</v>
      </c>
      <c r="K490" s="167">
        <f t="shared" ca="1" si="116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IFERROR(__xludf.DUMMYFUNCTION("IMPORTRANGE(""https://docs.google.com/spreadsheets/d/1IYY_tgx_IHuhSq3AJ5eI5OnqOPBNLWSHKh2a30DoXe8/edit?usp=sharing"",""พัทลุง!I386"")"),0)</f>
        <v>0</v>
      </c>
      <c r="J491" s="195">
        <f ca="1">IFERROR(__xludf.DUMMYFUNCTION("IMPORTRANGE(""https://docs.google.com/spreadsheets/d/1IYY_tgx_IHuhSq3AJ5eI5OnqOPBNLWSHKh2a30DoXe8/edit?usp=sharing"",""พัทลุง!J386"")"),0)</f>
        <v>0</v>
      </c>
      <c r="K491" s="167">
        <f t="shared" ca="1" si="116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IFERROR(__xludf.DUMMYFUNCTION("IMPORTRANGE(""https://docs.google.com/spreadsheets/d/1IYY_tgx_IHuhSq3AJ5eI5OnqOPBNLWSHKh2a30DoXe8/edit?usp=sharing"",""พัทลุง!I387"")"),0)</f>
        <v>0</v>
      </c>
      <c r="J492" s="195">
        <f ca="1">IFERROR(__xludf.DUMMYFUNCTION("IMPORTRANGE(""https://docs.google.com/spreadsheets/d/1IYY_tgx_IHuhSq3AJ5eI5OnqOPBNLWSHKh2a30DoXe8/edit?usp=sharing"",""พัทลุง!J387"")"),0)</f>
        <v>0</v>
      </c>
      <c r="K492" s="167">
        <f t="shared" ca="1" si="116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IFERROR(__xludf.DUMMYFUNCTION("IMPORTRANGE(""https://docs.google.com/spreadsheets/d/1IYY_tgx_IHuhSq3AJ5eI5OnqOPBNLWSHKh2a30DoXe8/edit?usp=sharing"",""พัทลุง!I388"")"),0)</f>
        <v>0</v>
      </c>
      <c r="J493" s="195">
        <f ca="1">IFERROR(__xludf.DUMMYFUNCTION("IMPORTRANGE(""https://docs.google.com/spreadsheets/d/1IYY_tgx_IHuhSq3AJ5eI5OnqOPBNLWSHKh2a30DoXe8/edit?usp=sharing"",""พัทลุง!J388"")"),839)</f>
        <v>839</v>
      </c>
      <c r="K493" s="167">
        <f t="shared" ca="1" si="116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IFERROR(__xludf.DUMMYFUNCTION("IMPORTRANGE(""https://docs.google.com/spreadsheets/d/1IYY_tgx_IHuhSq3AJ5eI5OnqOPBNLWSHKh2a30DoXe8/edit?usp=sharing"",""พัทลุง!I389"")"),0)</f>
        <v>0</v>
      </c>
      <c r="J494" s="442">
        <f ca="1">IFERROR(__xludf.DUMMYFUNCTION("IMPORTRANGE(""https://docs.google.com/spreadsheets/d/1IYY_tgx_IHuhSq3AJ5eI5OnqOPBNLWSHKh2a30DoXe8/edit?usp=sharing"",""พัทลุง!J389"")"),107)</f>
        <v>107</v>
      </c>
      <c r="K494" s="294">
        <f t="shared" ca="1" si="116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IFERROR(__xludf.DUMMYFUNCTION("IMPORTRANGE(""https://docs.google.com/spreadsheets/d/1IYY_tgx_IHuhSq3AJ5eI5OnqOPBNLWSHKh2a30DoXe8/edit?usp=sharing"",""พัทลุง!I390"")"),0)</f>
        <v>0</v>
      </c>
      <c r="J495" s="442">
        <f ca="1">IFERROR(__xludf.DUMMYFUNCTION("IMPORTRANGE(""https://docs.google.com/spreadsheets/d/1IYY_tgx_IHuhSq3AJ5eI5OnqOPBNLWSHKh2a30DoXe8/edit?usp=sharing"",""พัทลุง!J390"")"),0)</f>
        <v>0</v>
      </c>
      <c r="K495" s="167">
        <f t="shared" ca="1" si="116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IFERROR(__xludf.DUMMYFUNCTION("IMPORTRANGE(""https://docs.google.com/spreadsheets/d/1IYY_tgx_IHuhSq3AJ5eI5OnqOPBNLWSHKh2a30DoXe8/edit?usp=sharing"",""พัทลุง!I391"")"),0)</f>
        <v>0</v>
      </c>
      <c r="J496" s="442">
        <f ca="1">IFERROR(__xludf.DUMMYFUNCTION("IMPORTRANGE(""https://docs.google.com/spreadsheets/d/1IYY_tgx_IHuhSq3AJ5eI5OnqOPBNLWSHKh2a30DoXe8/edit?usp=sharing"",""พัทลุง!J391"")"),0)</f>
        <v>0</v>
      </c>
      <c r="K496" s="294">
        <f t="shared" ca="1" si="116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IFERROR(__xludf.DUMMYFUNCTION("IMPORTRANGE(""https://docs.google.com/spreadsheets/d/1IYY_tgx_IHuhSq3AJ5eI5OnqOPBNLWSHKh2a30DoXe8/edit?usp=sharing"",""พัทลุง!I392"")"),185)</f>
        <v>185</v>
      </c>
      <c r="J497" s="449">
        <f ca="1">IFERROR(__xludf.DUMMYFUNCTION("IMPORTRANGE(""https://docs.google.com/spreadsheets/d/1IYY_tgx_IHuhSq3AJ5eI5OnqOPBNLWSHKh2a30DoXe8/edit?usp=sharing"",""พัทลุง!J392"")"),164)</f>
        <v>164</v>
      </c>
      <c r="K497" s="450">
        <f t="shared" ca="1" si="116"/>
        <v>88.648648648648646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IFERROR(__xludf.DUMMYFUNCTION("IMPORTRANGE(""https://docs.google.com/spreadsheets/d/1IYY_tgx_IHuhSq3AJ5eI5OnqOPBNLWSHKh2a30DoXe8/edit?usp=sharing"",""พัทลุง!I393"")"),185)</f>
        <v>185</v>
      </c>
      <c r="J498" s="426">
        <f ca="1">IFERROR(__xludf.DUMMYFUNCTION("IMPORTRANGE(""https://docs.google.com/spreadsheets/d/1IYY_tgx_IHuhSq3AJ5eI5OnqOPBNLWSHKh2a30DoXe8/edit?usp=sharing"",""พัทลุง!J393"")"),164)</f>
        <v>164</v>
      </c>
      <c r="K498" s="167">
        <f t="shared" ca="1" si="116"/>
        <v>88.648648648648646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IFERROR(__xludf.DUMMYFUNCTION("IMPORTRANGE(""https://docs.google.com/spreadsheets/d/1IYY_tgx_IHuhSq3AJ5eI5OnqOPBNLWSHKh2a30DoXe8/edit?usp=sharing"",""พัทลุง!I394"")"),48)</f>
        <v>48</v>
      </c>
      <c r="J499" s="426">
        <f ca="1">IFERROR(__xludf.DUMMYFUNCTION("IMPORTRANGE(""https://docs.google.com/spreadsheets/d/1IYY_tgx_IHuhSq3AJ5eI5OnqOPBNLWSHKh2a30DoXe8/edit?usp=sharing"",""พัทลุง!J394"")"),42)</f>
        <v>42</v>
      </c>
      <c r="K499" s="208">
        <f t="shared" ca="1" si="116"/>
        <v>87.5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IFERROR(__xludf.DUMMYFUNCTION("IMPORTRANGE(""https://docs.google.com/spreadsheets/d/1IYY_tgx_IHuhSq3AJ5eI5OnqOPBNLWSHKh2a30DoXe8/edit?usp=sharing"",""พัทลุง!I395"")"),0)</f>
        <v>0</v>
      </c>
      <c r="J500" s="166">
        <f ca="1">IFERROR(__xludf.DUMMYFUNCTION("IMPORTRANGE(""https://docs.google.com/spreadsheets/d/1IYY_tgx_IHuhSq3AJ5eI5OnqOPBNLWSHKh2a30DoXe8/edit?usp=sharing"",""พัทลุง!J395"")"),164)</f>
        <v>164</v>
      </c>
      <c r="K500" s="167">
        <f t="shared" ca="1" si="116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IFERROR(__xludf.DUMMYFUNCTION("IMPORTRANGE(""https://docs.google.com/spreadsheets/d/1IYY_tgx_IHuhSq3AJ5eI5OnqOPBNLWSHKh2a30DoXe8/edit?usp=sharing"",""พัทลุง!I396"")"),0)</f>
        <v>0</v>
      </c>
      <c r="J501" s="166">
        <f ca="1">IFERROR(__xludf.DUMMYFUNCTION("IMPORTRANGE(""https://docs.google.com/spreadsheets/d/1IYY_tgx_IHuhSq3AJ5eI5OnqOPBNLWSHKh2a30DoXe8/edit?usp=sharing"",""พัทลุง!J396"")"),42)</f>
        <v>42</v>
      </c>
      <c r="K501" s="167">
        <f t="shared" ca="1" si="116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IFERROR(__xludf.DUMMYFUNCTION("IMPORTRANGE(""https://docs.google.com/spreadsheets/d/1IYY_tgx_IHuhSq3AJ5eI5OnqOPBNLWSHKh2a30DoXe8/edit?usp=sharing"",""พัทลุง!I397"")"),0)</f>
        <v>0</v>
      </c>
      <c r="J502" s="195">
        <f ca="1">IFERROR(__xludf.DUMMYFUNCTION("IMPORTRANGE(""https://docs.google.com/spreadsheets/d/1IYY_tgx_IHuhSq3AJ5eI5OnqOPBNLWSHKh2a30DoXe8/edit?usp=sharing"",""พัทลุง!J397"")"),164)</f>
        <v>164</v>
      </c>
      <c r="K502" s="167">
        <f t="shared" ca="1" si="116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IFERROR(__xludf.DUMMYFUNCTION("IMPORTRANGE(""https://docs.google.com/spreadsheets/d/1IYY_tgx_IHuhSq3AJ5eI5OnqOPBNLWSHKh2a30DoXe8/edit?usp=sharing"",""พัทลุง!I398"")"),0)</f>
        <v>0</v>
      </c>
      <c r="J503" s="204">
        <f ca="1">IFERROR(__xludf.DUMMYFUNCTION("IMPORTRANGE(""https://docs.google.com/spreadsheets/d/1IYY_tgx_IHuhSq3AJ5eI5OnqOPBNLWSHKh2a30DoXe8/edit?usp=sharing"",""พัทลุง!J398"")"),42)</f>
        <v>42</v>
      </c>
      <c r="K503" s="167">
        <f t="shared" ca="1" si="116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IFERROR(__xludf.DUMMYFUNCTION("IMPORTRANGE(""https://docs.google.com/spreadsheets/d/1IYY_tgx_IHuhSq3AJ5eI5OnqOPBNLWSHKh2a30DoXe8/edit?usp=sharing"",""พัทลุง!I399"")"),0)</f>
        <v>0</v>
      </c>
      <c r="J504" s="195">
        <f ca="1">IFERROR(__xludf.DUMMYFUNCTION("IMPORTRANGE(""https://docs.google.com/spreadsheets/d/1IYY_tgx_IHuhSq3AJ5eI5OnqOPBNLWSHKh2a30DoXe8/edit?usp=sharing"",""พัทลุง!J399"")"),0)</f>
        <v>0</v>
      </c>
      <c r="K504" s="167">
        <f t="shared" ca="1" si="116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IFERROR(__xludf.DUMMYFUNCTION("IMPORTRANGE(""https://docs.google.com/spreadsheets/d/1IYY_tgx_IHuhSq3AJ5eI5OnqOPBNLWSHKh2a30DoXe8/edit?usp=sharing"",""พัทลุง!I400"")"),0)</f>
        <v>0</v>
      </c>
      <c r="J505" s="204">
        <f ca="1">IFERROR(__xludf.DUMMYFUNCTION("IMPORTRANGE(""https://docs.google.com/spreadsheets/d/1IYY_tgx_IHuhSq3AJ5eI5OnqOPBNLWSHKh2a30DoXe8/edit?usp=sharing"",""พัทลุง!J400"")"),0)</f>
        <v>0</v>
      </c>
      <c r="K505" s="167">
        <f t="shared" ca="1" si="116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IFERROR(__xludf.DUMMYFUNCTION("IMPORTRANGE(""https://docs.google.com/spreadsheets/d/1IYY_tgx_IHuhSq3AJ5eI5OnqOPBNLWSHKh2a30DoXe8/edit?usp=sharing"",""พัทลุง!I401"")"),0)</f>
        <v>0</v>
      </c>
      <c r="J506" s="195">
        <f ca="1">IFERROR(__xludf.DUMMYFUNCTION("IMPORTRANGE(""https://docs.google.com/spreadsheets/d/1IYY_tgx_IHuhSq3AJ5eI5OnqOPBNLWSHKh2a30DoXe8/edit?usp=sharing"",""พัทลุง!J401"")"),0)</f>
        <v>0</v>
      </c>
      <c r="K506" s="167">
        <f t="shared" ca="1" si="116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IFERROR(__xludf.DUMMYFUNCTION("IMPORTRANGE(""https://docs.google.com/spreadsheets/d/1IYY_tgx_IHuhSq3AJ5eI5OnqOPBNLWSHKh2a30DoXe8/edit?usp=sharing"",""พัทลุง!I402"")"),0)</f>
        <v>0</v>
      </c>
      <c r="J507" s="204">
        <f ca="1">IFERROR(__xludf.DUMMYFUNCTION("IMPORTRANGE(""https://docs.google.com/spreadsheets/d/1IYY_tgx_IHuhSq3AJ5eI5OnqOPBNLWSHKh2a30DoXe8/edit?usp=sharing"",""พัทลุง!J402"")"),0)</f>
        <v>0</v>
      </c>
      <c r="K507" s="167">
        <f t="shared" ca="1" si="116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IFERROR(__xludf.DUMMYFUNCTION("IMPORTRANGE(""https://docs.google.com/spreadsheets/d/1IYY_tgx_IHuhSq3AJ5eI5OnqOPBNLWSHKh2a30DoXe8/edit?usp=sharing"",""พัทลุง!I403"")"),0)</f>
        <v>0</v>
      </c>
      <c r="J508" s="166">
        <f ca="1">IFERROR(__xludf.DUMMYFUNCTION("IMPORTRANGE(""https://docs.google.com/spreadsheets/d/1IYY_tgx_IHuhSq3AJ5eI5OnqOPBNLWSHKh2a30DoXe8/edit?usp=sharing"",""พัทลุง!J403"")"),0)</f>
        <v>0</v>
      </c>
      <c r="K508" s="167">
        <f t="shared" ca="1" si="116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IFERROR(__xludf.DUMMYFUNCTION("IMPORTRANGE(""https://docs.google.com/spreadsheets/d/1IYY_tgx_IHuhSq3AJ5eI5OnqOPBNLWSHKh2a30DoXe8/edit?usp=sharing"",""พัทลุง!I404"")"),0)</f>
        <v>0</v>
      </c>
      <c r="J509" s="166">
        <f ca="1">IFERROR(__xludf.DUMMYFUNCTION("IMPORTRANGE(""https://docs.google.com/spreadsheets/d/1IYY_tgx_IHuhSq3AJ5eI5OnqOPBNLWSHKh2a30DoXe8/edit?usp=sharing"",""พัทลุง!J404"")"),0)</f>
        <v>0</v>
      </c>
      <c r="K509" s="167">
        <f t="shared" ca="1" si="116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IFERROR(__xludf.DUMMYFUNCTION("IMPORTRANGE(""https://docs.google.com/spreadsheets/d/1IYY_tgx_IHuhSq3AJ5eI5OnqOPBNLWSHKh2a30DoXe8/edit?usp=sharing"",""พัทลุง!I405"")"),0)</f>
        <v>0</v>
      </c>
      <c r="J510" s="204">
        <f ca="1">IFERROR(__xludf.DUMMYFUNCTION("IMPORTRANGE(""https://docs.google.com/spreadsheets/d/1IYY_tgx_IHuhSq3AJ5eI5OnqOPBNLWSHKh2a30DoXe8/edit?usp=sharing"",""พัทลุง!J405"")"),0)</f>
        <v>0</v>
      </c>
      <c r="K510" s="167">
        <f t="shared" ca="1" si="116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IFERROR(__xludf.DUMMYFUNCTION("IMPORTRANGE(""https://docs.google.com/spreadsheets/d/1IYY_tgx_IHuhSq3AJ5eI5OnqOPBNLWSHKh2a30DoXe8/edit?usp=sharing"",""พัทลุง!I406"")"),0)</f>
        <v>0</v>
      </c>
      <c r="J511" s="204">
        <f ca="1">IFERROR(__xludf.DUMMYFUNCTION("IMPORTRANGE(""https://docs.google.com/spreadsheets/d/1IYY_tgx_IHuhSq3AJ5eI5OnqOPBNLWSHKh2a30DoXe8/edit?usp=sharing"",""พัทลุง!J406"")"),0)</f>
        <v>0</v>
      </c>
      <c r="K511" s="167">
        <f t="shared" ca="1" si="116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IFERROR(__xludf.DUMMYFUNCTION("IMPORTRANGE(""https://docs.google.com/spreadsheets/d/1IYY_tgx_IHuhSq3AJ5eI5OnqOPBNLWSHKh2a30DoXe8/edit?usp=sharing"",""พัทลุง!I407"")"),0)</f>
        <v>0</v>
      </c>
      <c r="J512" s="204">
        <f ca="1">IFERROR(__xludf.DUMMYFUNCTION("IMPORTRANGE(""https://docs.google.com/spreadsheets/d/1IYY_tgx_IHuhSq3AJ5eI5OnqOPBNLWSHKh2a30DoXe8/edit?usp=sharing"",""พัทลุง!J407"")"),0)</f>
        <v>0</v>
      </c>
      <c r="K512" s="167">
        <f t="shared" ca="1" si="116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IFERROR(__xludf.DUMMYFUNCTION("IMPORTRANGE(""https://docs.google.com/spreadsheets/d/1IYY_tgx_IHuhSq3AJ5eI5OnqOPBNLWSHKh2a30DoXe8/edit?usp=sharing"",""พัทลุง!I408"")"),0)</f>
        <v>0</v>
      </c>
      <c r="J513" s="204">
        <f ca="1">IFERROR(__xludf.DUMMYFUNCTION("IMPORTRANGE(""https://docs.google.com/spreadsheets/d/1IYY_tgx_IHuhSq3AJ5eI5OnqOPBNLWSHKh2a30DoXe8/edit?usp=sharing"",""พัทลุง!J408"")"),0)</f>
        <v>0</v>
      </c>
      <c r="K513" s="167">
        <f t="shared" ca="1" si="116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IFERROR(__xludf.DUMMYFUNCTION("IMPORTRANGE(""https://docs.google.com/spreadsheets/d/1IYY_tgx_IHuhSq3AJ5eI5OnqOPBNLWSHKh2a30DoXe8/edit?usp=sharing"",""พัทลุง!I409"")"),0)</f>
        <v>0</v>
      </c>
      <c r="J514" s="204">
        <f ca="1">IFERROR(__xludf.DUMMYFUNCTION("IMPORTRANGE(""https://docs.google.com/spreadsheets/d/1IYY_tgx_IHuhSq3AJ5eI5OnqOPBNLWSHKh2a30DoXe8/edit?usp=sharing"",""พัทลุง!J409"")"),0)</f>
        <v>0</v>
      </c>
      <c r="K514" s="167">
        <f t="shared" ca="1" si="116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IFERROR(__xludf.DUMMYFUNCTION("IMPORTRANGE(""https://docs.google.com/spreadsheets/d/1IYY_tgx_IHuhSq3AJ5eI5OnqOPBNLWSHKh2a30DoXe8/edit?usp=sharing"",""พัทลุง!I410"")"),0)</f>
        <v>0</v>
      </c>
      <c r="J515" s="204">
        <f ca="1">IFERROR(__xludf.DUMMYFUNCTION("IMPORTRANGE(""https://docs.google.com/spreadsheets/d/1IYY_tgx_IHuhSq3AJ5eI5OnqOPBNLWSHKh2a30DoXe8/edit?usp=sharing"",""พัทลุง!J410"")"),0)</f>
        <v>0</v>
      </c>
      <c r="K515" s="167">
        <f t="shared" ca="1" si="116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IFERROR(__xludf.DUMMYFUNCTION("IMPORTRANGE(""https://docs.google.com/spreadsheets/d/1IYY_tgx_IHuhSq3AJ5eI5OnqOPBNLWSHKh2a30DoXe8/edit?usp=sharing"",""พัทลุง!I411"")"),0)</f>
        <v>0</v>
      </c>
      <c r="J516" s="273">
        <f ca="1">IFERROR(__xludf.DUMMYFUNCTION("IMPORTRANGE(""https://docs.google.com/spreadsheets/d/1IYY_tgx_IHuhSq3AJ5eI5OnqOPBNLWSHKh2a30DoXe8/edit?usp=sharing"",""พัทลุง!J411"")"),0)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IFERROR(__xludf.DUMMYFUNCTION("IMPORTRANGE(""https://docs.google.com/spreadsheets/d/1IYY_tgx_IHuhSq3AJ5eI5OnqOPBNLWSHKh2a30DoXe8/edit?usp=sharing"",""พัทลุง!I412"")"),0)</f>
        <v>0</v>
      </c>
      <c r="J517" s="290">
        <f ca="1">IFERROR(__xludf.DUMMYFUNCTION("IMPORTRANGE(""https://docs.google.com/spreadsheets/d/1IYY_tgx_IHuhSq3AJ5eI5OnqOPBNLWSHKh2a30DoXe8/edit?usp=sharing"",""พัทลุง!J412"")"),0)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IFERROR(__xludf.DUMMYFUNCTION("IMPORTRANGE(""https://docs.google.com/spreadsheets/d/1IYY_tgx_IHuhSq3AJ5eI5OnqOPBNLWSHKh2a30DoXe8/edit?usp=sharing"",""พัทลุง!I413"")"),0)</f>
        <v>0</v>
      </c>
      <c r="J518" s="290">
        <f ca="1">IFERROR(__xludf.DUMMYFUNCTION("IMPORTRANGE(""https://docs.google.com/spreadsheets/d/1IYY_tgx_IHuhSq3AJ5eI5OnqOPBNLWSHKh2a30DoXe8/edit?usp=sharing"",""พัทลุง!J413"")"),0)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IFERROR(__xludf.DUMMYFUNCTION("IMPORTRANGE(""https://docs.google.com/spreadsheets/d/1IYY_tgx_IHuhSq3AJ5eI5OnqOPBNLWSHKh2a30DoXe8/edit?usp=sharing"",""พัทลุง!I414"")"),0)</f>
        <v>0</v>
      </c>
      <c r="J519" s="194">
        <f ca="1">IFERROR(__xludf.DUMMYFUNCTION("IMPORTRANGE(""https://docs.google.com/spreadsheets/d/1IYY_tgx_IHuhSq3AJ5eI5OnqOPBNLWSHKh2a30DoXe8/edit?usp=sharing"",""พัทลุง!J414"")"),0)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IFERROR(__xludf.DUMMYFUNCTION("IMPORTRANGE(""https://docs.google.com/spreadsheets/d/1IYY_tgx_IHuhSq3AJ5eI5OnqOPBNLWSHKh2a30DoXe8/edit?usp=sharing"",""พัทลุง!I415"")"),0)</f>
        <v>0</v>
      </c>
      <c r="J520" s="194">
        <f ca="1">IFERROR(__xludf.DUMMYFUNCTION("IMPORTRANGE(""https://docs.google.com/spreadsheets/d/1IYY_tgx_IHuhSq3AJ5eI5OnqOPBNLWSHKh2a30DoXe8/edit?usp=sharing"",""พัทลุง!J415"")"),0)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IFERROR(__xludf.DUMMYFUNCTION("IMPORTRANGE(""https://docs.google.com/spreadsheets/d/1IYY_tgx_IHuhSq3AJ5eI5OnqOPBNLWSHKh2a30DoXe8/edit?usp=sharing"",""พัทลุง!I416"")"),0)</f>
        <v>0</v>
      </c>
      <c r="J521" s="194">
        <f ca="1">IFERROR(__xludf.DUMMYFUNCTION("IMPORTRANGE(""https://docs.google.com/spreadsheets/d/1IYY_tgx_IHuhSq3AJ5eI5OnqOPBNLWSHKh2a30DoXe8/edit?usp=sharing"",""พัทลุง!J416"")"),0)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IFERROR(__xludf.DUMMYFUNCTION("IMPORTRANGE(""https://docs.google.com/spreadsheets/d/1IYY_tgx_IHuhSq3AJ5eI5OnqOPBNLWSHKh2a30DoXe8/edit?usp=sharing"",""พัทลุง!I417"")"),0)</f>
        <v>0</v>
      </c>
      <c r="J522" s="194">
        <f ca="1">IFERROR(__xludf.DUMMYFUNCTION("IMPORTRANGE(""https://docs.google.com/spreadsheets/d/1IYY_tgx_IHuhSq3AJ5eI5OnqOPBNLWSHKh2a30DoXe8/edit?usp=sharing"",""พัทลุง!J417"")"),0)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IFERROR(__xludf.DUMMYFUNCTION("IMPORTRANGE(""https://docs.google.com/spreadsheets/d/1IYY_tgx_IHuhSq3AJ5eI5OnqOPBNLWSHKh2a30DoXe8/edit?usp=sharing"",""พัทลุง!I418"")"),0)</f>
        <v>0</v>
      </c>
      <c r="J523" s="194">
        <f ca="1">IFERROR(__xludf.DUMMYFUNCTION("IMPORTRANGE(""https://docs.google.com/spreadsheets/d/1IYY_tgx_IHuhSq3AJ5eI5OnqOPBNLWSHKh2a30DoXe8/edit?usp=sharing"",""พัทลุง!J418"")"),29)</f>
        <v>29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IFERROR(__xludf.DUMMYFUNCTION("IMPORTRANGE(""https://docs.google.com/spreadsheets/d/1IYY_tgx_IHuhSq3AJ5eI5OnqOPBNLWSHKh2a30DoXe8/edit?usp=sharing"",""พัทลุง!I419"")"),0)</f>
        <v>0</v>
      </c>
      <c r="J524" s="194">
        <f ca="1">IFERROR(__xludf.DUMMYFUNCTION("IMPORTRANGE(""https://docs.google.com/spreadsheets/d/1IYY_tgx_IHuhSq3AJ5eI5OnqOPBNLWSHKh2a30DoXe8/edit?usp=sharing"",""พัทลุง!J419"")"),10)</f>
        <v>10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IFERROR(__xludf.DUMMYFUNCTION("IMPORTRANGE(""https://docs.google.com/spreadsheets/d/1IYY_tgx_IHuhSq3AJ5eI5OnqOPBNLWSHKh2a30DoXe8/edit?usp=sharing"",""พัทลุง!I420"")"),29)</f>
        <v>29</v>
      </c>
      <c r="J525" s="290">
        <f ca="1">IFERROR(__xludf.DUMMYFUNCTION("IMPORTRANGE(""https://docs.google.com/spreadsheets/d/1IYY_tgx_IHuhSq3AJ5eI5OnqOPBNLWSHKh2a30DoXe8/edit?usp=sharing"",""พัทลุง!J420"")"),29)</f>
        <v>29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IFERROR(__xludf.DUMMYFUNCTION("IMPORTRANGE(""https://docs.google.com/spreadsheets/d/1IYY_tgx_IHuhSq3AJ5eI5OnqOPBNLWSHKh2a30DoXe8/edit?usp=sharing"",""พัทลุง!I421"")"),10)</f>
        <v>10</v>
      </c>
      <c r="J526" s="290">
        <f ca="1">IFERROR(__xludf.DUMMYFUNCTION("IMPORTRANGE(""https://docs.google.com/spreadsheets/d/1IYY_tgx_IHuhSq3AJ5eI5OnqOPBNLWSHKh2a30DoXe8/edit?usp=sharing"",""พัทลุง!J421"")"),10)</f>
        <v>10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IFERROR(__xludf.DUMMYFUNCTION("IMPORTRANGE(""https://docs.google.com/spreadsheets/d/1IYY_tgx_IHuhSq3AJ5eI5OnqOPBNLWSHKh2a30DoXe8/edit?usp=sharing"",""พัทลุง!I422"")"),0)</f>
        <v>0</v>
      </c>
      <c r="J527" s="204">
        <f ca="1">IFERROR(__xludf.DUMMYFUNCTION("IMPORTRANGE(""https://docs.google.com/spreadsheets/d/1IYY_tgx_IHuhSq3AJ5eI5OnqOPBNLWSHKh2a30DoXe8/edit?usp=sharing"",""พัทลุง!J422"")"),7)</f>
        <v>7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IFERROR(__xludf.DUMMYFUNCTION("IMPORTRANGE(""https://docs.google.com/spreadsheets/d/1IYY_tgx_IHuhSq3AJ5eI5OnqOPBNLWSHKh2a30DoXe8/edit?usp=sharing"",""พัทลุง!I423"")"),0)</f>
        <v>0</v>
      </c>
      <c r="J528" s="204">
        <f ca="1">IFERROR(__xludf.DUMMYFUNCTION("IMPORTRANGE(""https://docs.google.com/spreadsheets/d/1IYY_tgx_IHuhSq3AJ5eI5OnqOPBNLWSHKh2a30DoXe8/edit?usp=sharing"",""พัทลุง!J423"")"),2)</f>
        <v>2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IFERROR(__xludf.DUMMYFUNCTION("IMPORTRANGE(""https://docs.google.com/spreadsheets/d/1IYY_tgx_IHuhSq3AJ5eI5OnqOPBNLWSHKh2a30DoXe8/edit?usp=sharing"",""พัทลุง!I424"")"),0)</f>
        <v>0</v>
      </c>
      <c r="J529" s="204">
        <f ca="1">IFERROR(__xludf.DUMMYFUNCTION("IMPORTRANGE(""https://docs.google.com/spreadsheets/d/1IYY_tgx_IHuhSq3AJ5eI5OnqOPBNLWSHKh2a30DoXe8/edit?usp=sharing"",""พัทลุง!J424"")"),22)</f>
        <v>22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IFERROR(__xludf.DUMMYFUNCTION("IMPORTRANGE(""https://docs.google.com/spreadsheets/d/1IYY_tgx_IHuhSq3AJ5eI5OnqOPBNLWSHKh2a30DoXe8/edit?usp=sharing"",""พัทลุง!I425"")"),0)</f>
        <v>0</v>
      </c>
      <c r="J530" s="204">
        <f ca="1">IFERROR(__xludf.DUMMYFUNCTION("IMPORTRANGE(""https://docs.google.com/spreadsheets/d/1IYY_tgx_IHuhSq3AJ5eI5OnqOPBNLWSHKh2a30DoXe8/edit?usp=sharing"",""พัทลุง!J425"")"),8)</f>
        <v>8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IFERROR(__xludf.DUMMYFUNCTION("IMPORTRANGE(""https://docs.google.com/spreadsheets/d/1IYY_tgx_IHuhSq3AJ5eI5OnqOPBNLWSHKh2a30DoXe8/edit?usp=sharing"",""พัทลุง!I426"")"),0)</f>
        <v>0</v>
      </c>
      <c r="J531" s="204">
        <f ca="1">IFERROR(__xludf.DUMMYFUNCTION("IMPORTRANGE(""https://docs.google.com/spreadsheets/d/1IYY_tgx_IHuhSq3AJ5eI5OnqOPBNLWSHKh2a30DoXe8/edit?usp=sharing"",""พัทลุง!J426"")"),0)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IFERROR(__xludf.DUMMYFUNCTION("IMPORTRANGE(""https://docs.google.com/spreadsheets/d/1IYY_tgx_IHuhSq3AJ5eI5OnqOPBNLWSHKh2a30DoXe8/edit?usp=sharing"",""พัทลุง!I427"")"),0)</f>
        <v>0</v>
      </c>
      <c r="J532" s="472">
        <f ca="1">IFERROR(__xludf.DUMMYFUNCTION("IMPORTRANGE(""https://docs.google.com/spreadsheets/d/1IYY_tgx_IHuhSq3AJ5eI5OnqOPBNLWSHKh2a30DoXe8/edit?usp=sharing"",""พัทลุง!J427"")"),0)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IFERROR(__xludf.DUMMYFUNCTION("IMPORTRANGE(""https://docs.google.com/spreadsheets/d/1IYY_tgx_IHuhSq3AJ5eI5OnqOPBNLWSHKh2a30DoXe8/edit?usp=sharing"",""พัทลุง!I428"")"),20)</f>
        <v>20</v>
      </c>
      <c r="J533" s="416">
        <f ca="1">IFERROR(__xludf.DUMMYFUNCTION("IMPORTRANGE(""https://docs.google.com/spreadsheets/d/1IYY_tgx_IHuhSq3AJ5eI5OnqOPBNLWSHKh2a30DoXe8/edit?usp=sharing"",""พัทลุง!J428"")"),20)</f>
        <v>20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IFERROR(__xludf.DUMMYFUNCTION("IMPORTRANGE(""https://docs.google.com/spreadsheets/d/1IYY_tgx_IHuhSq3AJ5eI5OnqOPBNLWSHKh2a30DoXe8/edit?usp=sharing"",""พัทลุง!L428"")"),32640)</f>
        <v>32640</v>
      </c>
      <c r="M533" s="418"/>
      <c r="N533" s="418">
        <f ca="1">IFERROR(__xludf.DUMMYFUNCTION("IMPORTRANGE(""https://docs.google.com/spreadsheets/d/1IYY_tgx_IHuhSq3AJ5eI5OnqOPBNLWSHKh2a30DoXe8/edit?usp=sharing"",""พัทลุง!M428"")"),27880)</f>
        <v>27880</v>
      </c>
      <c r="O533" s="418">
        <f t="shared" ref="O533:O537" ca="1" si="117">+IF(L533&gt;0,N533*100/L533,0)</f>
        <v>85.416666666666671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IFERROR(__xludf.DUMMYFUNCTION("IMPORTRANGE(""https://docs.google.com/spreadsheets/d/1IYY_tgx_IHuhSq3AJ5eI5OnqOPBNLWSHKh2a30DoXe8/edit?usp=sharing"",""พัทลุง!L429"")"),0)</f>
        <v>0</v>
      </c>
      <c r="M534" s="168"/>
      <c r="N534" s="175">
        <f ca="1">IFERROR(__xludf.DUMMYFUNCTION("IMPORTRANGE(""https://docs.google.com/spreadsheets/d/1IYY_tgx_IHuhSq3AJ5eI5OnqOPBNLWSHKh2a30DoXe8/edit?usp=sharing"",""พัทลุง!M429"")"),0)</f>
        <v>0</v>
      </c>
      <c r="O534" s="175">
        <f t="shared" ca="1" si="117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IFERROR(__xludf.DUMMYFUNCTION("IMPORTRANGE(""https://docs.google.com/spreadsheets/d/1IYY_tgx_IHuhSq3AJ5eI5OnqOPBNLWSHKh2a30DoXe8/edit?usp=sharing"",""พัทลุง!L430"")"),32640)</f>
        <v>32640</v>
      </c>
      <c r="M535" s="169"/>
      <c r="N535" s="175">
        <f ca="1">IFERROR(__xludf.DUMMYFUNCTION("IMPORTRANGE(""https://docs.google.com/spreadsheets/d/1IYY_tgx_IHuhSq3AJ5eI5OnqOPBNLWSHKh2a30DoXe8/edit?usp=sharing"",""พัทลุง!M430"")"),27880)</f>
        <v>27880</v>
      </c>
      <c r="O535" s="175">
        <f t="shared" ca="1" si="117"/>
        <v>85.416666666666671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IFERROR(__xludf.DUMMYFUNCTION("IMPORTRANGE(""https://docs.google.com/spreadsheets/d/1IYY_tgx_IHuhSq3AJ5eI5OnqOPBNLWSHKh2a30DoXe8/edit?usp=sharing"",""พัทลุง!L431"")"),0)</f>
        <v>0</v>
      </c>
      <c r="M536" s="175"/>
      <c r="N536" s="175">
        <f ca="1">IFERROR(__xludf.DUMMYFUNCTION("IMPORTRANGE(""https://docs.google.com/spreadsheets/d/1IYY_tgx_IHuhSq3AJ5eI5OnqOPBNLWSHKh2a30DoXe8/edit?usp=sharing"",""พัทลุง!M431"")"),0)</f>
        <v>0</v>
      </c>
      <c r="O536" s="175">
        <f t="shared" ca="1" si="117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IFERROR(__xludf.DUMMYFUNCTION("IMPORTRANGE(""https://docs.google.com/spreadsheets/d/1IYY_tgx_IHuhSq3AJ5eI5OnqOPBNLWSHKh2a30DoXe8/edit?usp=sharing"",""พัทลุง!L432"")"),32640)</f>
        <v>32640</v>
      </c>
      <c r="M537" s="175"/>
      <c r="N537" s="175">
        <f ca="1">IFERROR(__xludf.DUMMYFUNCTION("IMPORTRANGE(""https://docs.google.com/spreadsheets/d/1IYY_tgx_IHuhSq3AJ5eI5OnqOPBNLWSHKh2a30DoXe8/edit?usp=sharing"",""พัทลุง!M432"")"),27880)</f>
        <v>27880</v>
      </c>
      <c r="O537" s="175">
        <f t="shared" ca="1" si="117"/>
        <v>85.416666666666671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IFERROR(__xludf.DUMMYFUNCTION("IMPORTRANGE(""https://docs.google.com/spreadsheets/d/1IYY_tgx_IHuhSq3AJ5eI5OnqOPBNLWSHKh2a30DoXe8/edit?usp=sharing"",""พัทลุง!M433"")"),14560)</f>
        <v>14560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IFERROR(__xludf.DUMMYFUNCTION("IMPORTRANGE(""https://docs.google.com/spreadsheets/d/1IYY_tgx_IHuhSq3AJ5eI5OnqOPBNLWSHKh2a30DoXe8/edit?usp=sharing"",""พัทลุง!M434"")"),0)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IFERROR(__xludf.DUMMYFUNCTION("IMPORTRANGE(""https://docs.google.com/spreadsheets/d/1IYY_tgx_IHuhSq3AJ5eI5OnqOPBNLWSHKh2a30DoXe8/edit?usp=sharing"",""พัทลุง!M435"")"),0)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IFERROR(__xludf.DUMMYFUNCTION("IMPORTRANGE(""https://docs.google.com/spreadsheets/d/1IYY_tgx_IHuhSq3AJ5eI5OnqOPBNLWSHKh2a30DoXe8/edit?usp=sharing"",""พัทลุง!M436"")"),13320)</f>
        <v>13320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IFERROR(__xludf.DUMMYFUNCTION("IMPORTRANGE(""https://docs.google.com/spreadsheets/d/1IYY_tgx_IHuhSq3AJ5eI5OnqOPBNLWSHKh2a30DoXe8/edit?usp=sharing"",""พัทลุง!J438"")"),0)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IFERROR(__xludf.DUMMYFUNCTION("IMPORTRANGE(""https://docs.google.com/spreadsheets/d/1IYY_tgx_IHuhSq3AJ5eI5OnqOPBNLWSHKh2a30DoXe8/edit?usp=sharing"",""พัทลุง!J439"")"),1)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IFERROR(__xludf.DUMMYFUNCTION("IMPORTRANGE(""https://docs.google.com/spreadsheets/d/1IYY_tgx_IHuhSq3AJ5eI5OnqOPBNLWSHKh2a30DoXe8/edit?usp=sharing"",""พัทลุง!J440"")"),1)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IFERROR(__xludf.DUMMYFUNCTION("IMPORTRANGE(""https://docs.google.com/spreadsheets/d/1IYY_tgx_IHuhSq3AJ5eI5OnqOPBNLWSHKh2a30DoXe8/edit?usp=sharing"",""พัทลุง!J441"")"),1)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IFERROR(__xludf.DUMMYFUNCTION("IMPORTRANGE(""https://docs.google.com/spreadsheets/d/1IYY_tgx_IHuhSq3AJ5eI5OnqOPBNLWSHKh2a30DoXe8/edit?usp=sharing"",""พัทลุง!I442"")"),20)</f>
        <v>20</v>
      </c>
      <c r="J547" s="195">
        <f ca="1">IFERROR(__xludf.DUMMYFUNCTION("IMPORTRANGE(""https://docs.google.com/spreadsheets/d/1IYY_tgx_IHuhSq3AJ5eI5OnqOPBNLWSHKh2a30DoXe8/edit?usp=sharing"",""พัทลุง!J442"")"),20)</f>
        <v>20</v>
      </c>
      <c r="K547" s="167">
        <f t="shared" ref="K547:K548" ca="1" si="118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IFERROR(__xludf.DUMMYFUNCTION("IMPORTRANGE(""https://docs.google.com/spreadsheets/d/1IYY_tgx_IHuhSq3AJ5eI5OnqOPBNLWSHKh2a30DoXe8/edit?usp=sharing"",""พัทลุง!J166"")"),0)</f>
        <v>0</v>
      </c>
      <c r="K548" s="167">
        <f t="shared" ca="1" si="118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IFERROR(__xludf.DUMMYFUNCTION("IMPORTRANGE(""https://docs.google.com/spreadsheets/d/1IYY_tgx_IHuhSq3AJ5eI5OnqOPBNLWSHKh2a30DoXe8/edit?usp=sharing"",""พัทลุง!J444"")"),1)</f>
        <v>1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IFERROR(__xludf.DUMMYFUNCTION("IMPORTRANGE(""https://docs.google.com/spreadsheets/d/1IYY_tgx_IHuhSq3AJ5eI5OnqOPBNLWSHKh2a30DoXe8/edit?usp=sharing"",""พัทลุง!J445"")"),1)</f>
        <v>1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IFERROR(__xludf.DUMMYFUNCTION("IMPORTRANGE(""https://docs.google.com/spreadsheets/d/1IYY_tgx_IHuhSq3AJ5eI5OnqOPBNLWSHKh2a30DoXe8/edit?usp=sharing"",""พัทลุง!I446"")"),0)</f>
        <v>0</v>
      </c>
      <c r="J551" s="416">
        <f ca="1">IFERROR(__xludf.DUMMYFUNCTION("IMPORTRANGE(""https://docs.google.com/spreadsheets/d/1IYY_tgx_IHuhSq3AJ5eI5OnqOPBNLWSHKh2a30DoXe8/edit?usp=sharing"",""พัทลุง!J446"")"),0)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IFERROR(__xludf.DUMMYFUNCTION("IMPORTRANGE(""https://docs.google.com/spreadsheets/d/1IYY_tgx_IHuhSq3AJ5eI5OnqOPBNLWSHKh2a30DoXe8/edit?usp=sharing"",""พัทลุง!L446"")"),0)</f>
        <v>0</v>
      </c>
      <c r="M551" s="418"/>
      <c r="N551" s="418">
        <f ca="1">IFERROR(__xludf.DUMMYFUNCTION("IMPORTRANGE(""https://docs.google.com/spreadsheets/d/1IYY_tgx_IHuhSq3AJ5eI5OnqOPBNLWSHKh2a30DoXe8/edit?usp=sharing"",""พัทลุง!M446"")"),0)</f>
        <v>0</v>
      </c>
      <c r="O551" s="418">
        <f t="shared" ref="O551:O555" ca="1" si="119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IFERROR(__xludf.DUMMYFUNCTION("IMPORTRANGE(""https://docs.google.com/spreadsheets/d/1IYY_tgx_IHuhSq3AJ5eI5OnqOPBNLWSHKh2a30DoXe8/edit?usp=sharing"",""พัทลุง!L447"")"),0)</f>
        <v>0</v>
      </c>
      <c r="M552" s="168"/>
      <c r="N552" s="175">
        <f ca="1">IFERROR(__xludf.DUMMYFUNCTION("IMPORTRANGE(""https://docs.google.com/spreadsheets/d/1IYY_tgx_IHuhSq3AJ5eI5OnqOPBNLWSHKh2a30DoXe8/edit?usp=sharing"",""พัทลุง!M447"")"),0)</f>
        <v>0</v>
      </c>
      <c r="O552" s="175">
        <f t="shared" ca="1" si="119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IFERROR(__xludf.DUMMYFUNCTION("IMPORTRANGE(""https://docs.google.com/spreadsheets/d/1IYY_tgx_IHuhSq3AJ5eI5OnqOPBNLWSHKh2a30DoXe8/edit?usp=sharing"",""พัทลุง!L448"")"),0)</f>
        <v>0</v>
      </c>
      <c r="M553" s="169"/>
      <c r="N553" s="175">
        <f ca="1">IFERROR(__xludf.DUMMYFUNCTION("IMPORTRANGE(""https://docs.google.com/spreadsheets/d/1IYY_tgx_IHuhSq3AJ5eI5OnqOPBNLWSHKh2a30DoXe8/edit?usp=sharing"",""พัทลุง!M448"")"),0)</f>
        <v>0</v>
      </c>
      <c r="O553" s="175">
        <f t="shared" ca="1" si="119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IFERROR(__xludf.DUMMYFUNCTION("IMPORTRANGE(""https://docs.google.com/spreadsheets/d/1IYY_tgx_IHuhSq3AJ5eI5OnqOPBNLWSHKh2a30DoXe8/edit?usp=sharing"",""พัทลุง!L449"")"),0)</f>
        <v>0</v>
      </c>
      <c r="M554" s="175"/>
      <c r="N554" s="175">
        <f ca="1">IFERROR(__xludf.DUMMYFUNCTION("IMPORTRANGE(""https://docs.google.com/spreadsheets/d/1IYY_tgx_IHuhSq3AJ5eI5OnqOPBNLWSHKh2a30DoXe8/edit?usp=sharing"",""พัทลุง!M449"")"),0)</f>
        <v>0</v>
      </c>
      <c r="O554" s="175">
        <f t="shared" ca="1" si="119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IFERROR(__xludf.DUMMYFUNCTION("IMPORTRANGE(""https://docs.google.com/spreadsheets/d/1IYY_tgx_IHuhSq3AJ5eI5OnqOPBNLWSHKh2a30DoXe8/edit?usp=sharing"",""พัทลุง!L450"")"),0)</f>
        <v>0</v>
      </c>
      <c r="M555" s="175"/>
      <c r="N555" s="175">
        <f ca="1">IFERROR(__xludf.DUMMYFUNCTION("IMPORTRANGE(""https://docs.google.com/spreadsheets/d/1IYY_tgx_IHuhSq3AJ5eI5OnqOPBNLWSHKh2a30DoXe8/edit?usp=sharing"",""พัทลุง!M450"")"),0)</f>
        <v>0</v>
      </c>
      <c r="O555" s="175">
        <f t="shared" ca="1" si="119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IFERROR(__xludf.DUMMYFUNCTION("IMPORTRANGE(""https://docs.google.com/spreadsheets/d/1IYY_tgx_IHuhSq3AJ5eI5OnqOPBNLWSHKh2a30DoXe8/edit?usp=sharing"",""พัทลุง!M451"")"),0)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IFERROR(__xludf.DUMMYFUNCTION("IMPORTRANGE(""https://docs.google.com/spreadsheets/d/1IYY_tgx_IHuhSq3AJ5eI5OnqOPBNLWSHKh2a30DoXe8/edit?usp=sharing"",""พัทลุง!M452"")"),0)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IFERROR(__xludf.DUMMYFUNCTION("IMPORTRANGE(""https://docs.google.com/spreadsheets/d/1IYY_tgx_IHuhSq3AJ5eI5OnqOPBNLWSHKh2a30DoXe8/edit?usp=sharing"",""พัทลุง!M453"")"),0)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IFERROR(__xludf.DUMMYFUNCTION("IMPORTRANGE(""https://docs.google.com/spreadsheets/d/1IYY_tgx_IHuhSq3AJ5eI5OnqOPBNLWSHKh2a30DoXe8/edit?usp=sharing"",""พัทลุง!M454"")"),0)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IFERROR(__xludf.DUMMYFUNCTION("IMPORTRANGE(""https://docs.google.com/spreadsheets/d/1IYY_tgx_IHuhSq3AJ5eI5OnqOPBNLWSHKh2a30DoXe8/edit?usp=sharing"",""พัทลุง!I455"")"),0)</f>
        <v>0</v>
      </c>
      <c r="J560" s="166">
        <f ca="1">IFERROR(__xludf.DUMMYFUNCTION("IMPORTRANGE(""https://docs.google.com/spreadsheets/d/1IYY_tgx_IHuhSq3AJ5eI5OnqOPBNLWSHKh2a30DoXe8/edit?usp=sharing"",""พัทลุง!J455"")"),0)</f>
        <v>0</v>
      </c>
      <c r="K560" s="230">
        <f t="shared" ref="K560:K561" ca="1" si="120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IFERROR(__xludf.DUMMYFUNCTION("IMPORTRANGE(""https://docs.google.com/spreadsheets/d/1IYY_tgx_IHuhSq3AJ5eI5OnqOPBNLWSHKh2a30DoXe8/edit?usp=sharing"",""พัทลุง!I456"")"),0)</f>
        <v>0</v>
      </c>
      <c r="J561" s="210">
        <f ca="1">IFERROR(__xludf.DUMMYFUNCTION("IMPORTRANGE(""https://docs.google.com/spreadsheets/d/1IYY_tgx_IHuhSq3AJ5eI5OnqOPBNLWSHKh2a30DoXe8/edit?usp=sharing"",""พัทลุง!J456"")"),0)</f>
        <v>0</v>
      </c>
      <c r="K561" s="230">
        <f t="shared" ca="1" si="120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IFERROR(__xludf.DUMMYFUNCTION("IMPORTRANGE(""https://docs.google.com/spreadsheets/d/1IYY_tgx_IHuhSq3AJ5eI5OnqOPBNLWSHKh2a30DoXe8/edit?usp=sharing"",""พัทลุง!I459"")"),1150)</f>
        <v>1150</v>
      </c>
      <c r="J564" s="377">
        <f ca="1">IFERROR(__xludf.DUMMYFUNCTION("IMPORTRANGE(""https://docs.google.com/spreadsheets/d/1IYY_tgx_IHuhSq3AJ5eI5OnqOPBNLWSHKh2a30DoXe8/edit?usp=sharing"",""พัทลุง!J459"")"),2838)</f>
        <v>2838</v>
      </c>
      <c r="K564" s="378">
        <f ca="1">IF(I564&gt;0,J564*100/I564,0)</f>
        <v>246.78260869565219</v>
      </c>
      <c r="L564" s="379">
        <f ca="1">IFERROR(__xludf.DUMMYFUNCTION("IMPORTRANGE(""https://docs.google.com/spreadsheets/d/1IYY_tgx_IHuhSq3AJ5eI5OnqOPBNLWSHKh2a30DoXe8/edit?usp=sharing"",""พัทลุง!L459"")"),120320)</f>
        <v>120320</v>
      </c>
      <c r="M564" s="379"/>
      <c r="N564" s="379">
        <f ca="1">IFERROR(__xludf.DUMMYFUNCTION("IMPORTRANGE(""https://docs.google.com/spreadsheets/d/1IYY_tgx_IHuhSq3AJ5eI5OnqOPBNLWSHKh2a30DoXe8/edit?usp=sharing"",""พัทลุง!M459"")"),120320)</f>
        <v>120320</v>
      </c>
      <c r="O564" s="379">
        <f t="shared" ref="O564:O568" ca="1" si="121">+IF(L564&gt;0,N564*100/L564,0)</f>
        <v>100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IFERROR(__xludf.DUMMYFUNCTION("IMPORTRANGE(""https://docs.google.com/spreadsheets/d/1IYY_tgx_IHuhSq3AJ5eI5OnqOPBNLWSHKh2a30DoXe8/edit?usp=sharing"",""พัทลุง!L460"")"),0)</f>
        <v>0</v>
      </c>
      <c r="M565" s="168"/>
      <c r="N565" s="175">
        <f ca="1">IFERROR(__xludf.DUMMYFUNCTION("IMPORTRANGE(""https://docs.google.com/spreadsheets/d/1IYY_tgx_IHuhSq3AJ5eI5OnqOPBNLWSHKh2a30DoXe8/edit?usp=sharing"",""พัทลุง!M460"")"),0)</f>
        <v>0</v>
      </c>
      <c r="O565" s="175">
        <f t="shared" ca="1" si="121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IFERROR(__xludf.DUMMYFUNCTION("IMPORTRANGE(""https://docs.google.com/spreadsheets/d/1IYY_tgx_IHuhSq3AJ5eI5OnqOPBNLWSHKh2a30DoXe8/edit?usp=sharing"",""พัทลุง!L461"")"),120320)</f>
        <v>120320</v>
      </c>
      <c r="M566" s="169"/>
      <c r="N566" s="175">
        <f ca="1">IFERROR(__xludf.DUMMYFUNCTION("IMPORTRANGE(""https://docs.google.com/spreadsheets/d/1IYY_tgx_IHuhSq3AJ5eI5OnqOPBNLWSHKh2a30DoXe8/edit?usp=sharing"",""พัทลุง!M461"")"),120320)</f>
        <v>120320</v>
      </c>
      <c r="O566" s="175">
        <f t="shared" ca="1" si="121"/>
        <v>100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IFERROR(__xludf.DUMMYFUNCTION("IMPORTRANGE(""https://docs.google.com/spreadsheets/d/1IYY_tgx_IHuhSq3AJ5eI5OnqOPBNLWSHKh2a30DoXe8/edit?usp=sharing"",""พัทลุง!L462"")"),0)</f>
        <v>0</v>
      </c>
      <c r="M567" s="175"/>
      <c r="N567" s="175">
        <f ca="1">IFERROR(__xludf.DUMMYFUNCTION("IMPORTRANGE(""https://docs.google.com/spreadsheets/d/1IYY_tgx_IHuhSq3AJ5eI5OnqOPBNLWSHKh2a30DoXe8/edit?usp=sharing"",""พัทลุง!M462"")"),0)</f>
        <v>0</v>
      </c>
      <c r="O567" s="175">
        <f t="shared" ca="1" si="121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IFERROR(__xludf.DUMMYFUNCTION("IMPORTRANGE(""https://docs.google.com/spreadsheets/d/1IYY_tgx_IHuhSq3AJ5eI5OnqOPBNLWSHKh2a30DoXe8/edit?usp=sharing"",""พัทลุง!L463"")"),120320)</f>
        <v>120320</v>
      </c>
      <c r="M568" s="175"/>
      <c r="N568" s="175">
        <f ca="1">IFERROR(__xludf.DUMMYFUNCTION("IMPORTRANGE(""https://docs.google.com/spreadsheets/d/1IYY_tgx_IHuhSq3AJ5eI5OnqOPBNLWSHKh2a30DoXe8/edit?usp=sharing"",""พัทลุง!M463"")"),120320)</f>
        <v>120320</v>
      </c>
      <c r="O568" s="175">
        <f t="shared" ca="1" si="121"/>
        <v>100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IFERROR(__xludf.DUMMYFUNCTION("IMPORTRANGE(""https://docs.google.com/spreadsheets/d/1IYY_tgx_IHuhSq3AJ5eI5OnqOPBNLWSHKh2a30DoXe8/edit?usp=sharing"",""พัทลุง!M464"")"),0)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IFERROR(__xludf.DUMMYFUNCTION("IMPORTRANGE(""https://docs.google.com/spreadsheets/d/1IYY_tgx_IHuhSq3AJ5eI5OnqOPBNLWSHKh2a30DoXe8/edit?usp=sharing"",""พัทลุง!M465"")"),0)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IFERROR(__xludf.DUMMYFUNCTION("IMPORTRANGE(""https://docs.google.com/spreadsheets/d/1IYY_tgx_IHuhSq3AJ5eI5OnqOPBNLWSHKh2a30DoXe8/edit?usp=sharing"",""พัทลุง!M466"")"),99000)</f>
        <v>99000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IFERROR(__xludf.DUMMYFUNCTION("IMPORTRANGE(""https://docs.google.com/spreadsheets/d/1IYY_tgx_IHuhSq3AJ5eI5OnqOPBNLWSHKh2a30DoXe8/edit?usp=sharing"",""พัทลุง!M467"")"),21320)</f>
        <v>21320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IFERROR(__xludf.DUMMYFUNCTION("IMPORTRANGE(""https://docs.google.com/spreadsheets/d/1IYY_tgx_IHuhSq3AJ5eI5OnqOPBNLWSHKh2a30DoXe8/edit?usp=sharing"",""พัทลุง!I468"")"),1150)</f>
        <v>1150</v>
      </c>
      <c r="J573" s="426">
        <f ca="1">IFERROR(__xludf.DUMMYFUNCTION("IMPORTRANGE(""https://docs.google.com/spreadsheets/d/1IYY_tgx_IHuhSq3AJ5eI5OnqOPBNLWSHKh2a30DoXe8/edit?usp=sharing"",""พัทลุง!J468"")"),2838)</f>
        <v>2838</v>
      </c>
      <c r="K573" s="208">
        <f ca="1">IF(I573&gt;0,J573*100/I573,0)</f>
        <v>246.78260869565219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IFERROR(__xludf.DUMMYFUNCTION("IMPORTRANGE(""https://docs.google.com/spreadsheets/d/1IYY_tgx_IHuhSq3AJ5eI5OnqOPBNLWSHKh2a30DoXe8/edit?usp=sharing"",""พัทลุง!I470"")"),0)</f>
        <v>0</v>
      </c>
      <c r="J575" s="204">
        <f ca="1">IFERROR(__xludf.DUMMYFUNCTION("IMPORTRANGE(""https://docs.google.com/spreadsheets/d/1IYY_tgx_IHuhSq3AJ5eI5OnqOPBNLWSHKh2a30DoXe8/edit?usp=sharing"",""พัทลุง!J470"")"),4)</f>
        <v>4</v>
      </c>
      <c r="K575" s="167">
        <f t="shared" ref="K575:K579" ca="1" si="122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IFERROR(__xludf.DUMMYFUNCTION("IMPORTRANGE(""https://docs.google.com/spreadsheets/d/1IYY_tgx_IHuhSq3AJ5eI5OnqOPBNLWSHKh2a30DoXe8/edit?usp=sharing"",""พัทลุง!I471"")"),0)</f>
        <v>0</v>
      </c>
      <c r="J576" s="204">
        <f ca="1">IFERROR(__xludf.DUMMYFUNCTION("IMPORTRANGE(""https://docs.google.com/spreadsheets/d/1IYY_tgx_IHuhSq3AJ5eI5OnqOPBNLWSHKh2a30DoXe8/edit?usp=sharing"",""พัทลุง!J471"")"),100)</f>
        <v>100</v>
      </c>
      <c r="K576" s="167">
        <f t="shared" ca="1" si="122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IFERROR(__xludf.DUMMYFUNCTION("IMPORTRANGE(""https://docs.google.com/spreadsheets/d/1IYY_tgx_IHuhSq3AJ5eI5OnqOPBNLWSHKh2a30DoXe8/edit?usp=sharing"",""พัทลุง!I472"")"),0)</f>
        <v>0</v>
      </c>
      <c r="J577" s="195">
        <f ca="1">IFERROR(__xludf.DUMMYFUNCTION("IMPORTRANGE(""https://docs.google.com/spreadsheets/d/1IYY_tgx_IHuhSq3AJ5eI5OnqOPBNLWSHKh2a30DoXe8/edit?usp=sharing"",""พัทลุง!J472"")"),2738)</f>
        <v>2738</v>
      </c>
      <c r="K577" s="167">
        <f t="shared" ca="1" si="122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IFERROR(__xludf.DUMMYFUNCTION("IMPORTRANGE(""https://docs.google.com/spreadsheets/d/1IYY_tgx_IHuhSq3AJ5eI5OnqOPBNLWSHKh2a30DoXe8/edit?usp=sharing"",""พัทลุง!I473"")"),0)</f>
        <v>0</v>
      </c>
      <c r="J578" s="204">
        <f ca="1">IFERROR(__xludf.DUMMYFUNCTION("IMPORTRANGE(""https://docs.google.com/spreadsheets/d/1IYY_tgx_IHuhSq3AJ5eI5OnqOPBNLWSHKh2a30DoXe8/edit?usp=sharing"",""พัทลุง!J473"")"),0)</f>
        <v>0</v>
      </c>
      <c r="K578" s="167">
        <f t="shared" ca="1" si="122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IFERROR(__xludf.DUMMYFUNCTION("IMPORTRANGE(""https://docs.google.com/spreadsheets/d/1IYY_tgx_IHuhSq3AJ5eI5OnqOPBNLWSHKh2a30DoXe8/edit?usp=sharing"",""พัทลุง!I474"")"),0)</f>
        <v>0</v>
      </c>
      <c r="J579" s="204">
        <f ca="1">IFERROR(__xludf.DUMMYFUNCTION("IMPORTRANGE(""https://docs.google.com/spreadsheets/d/1IYY_tgx_IHuhSq3AJ5eI5OnqOPBNLWSHKh2a30DoXe8/edit?usp=sharing"",""พัทลุง!J474"")"),0)</f>
        <v>0</v>
      </c>
      <c r="K579" s="167">
        <f t="shared" ca="1" si="122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IFERROR(__xludf.DUMMYFUNCTION("IMPORTRANGE(""https://docs.google.com/spreadsheets/d/1IYY_tgx_IHuhSq3AJ5eI5OnqOPBNLWSHKh2a30DoXe8/edit?usp=sharing"",""พัทลุง!I475"")"),47)</f>
        <v>47</v>
      </c>
      <c r="J580" s="377">
        <f ca="1">IFERROR(__xludf.DUMMYFUNCTION("IMPORTRANGE(""https://docs.google.com/spreadsheets/d/1IYY_tgx_IHuhSq3AJ5eI5OnqOPBNLWSHKh2a30DoXe8/edit?usp=sharing"",""พัทลุง!J475"")"),0)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IFERROR(__xludf.DUMMYFUNCTION("IMPORTRANGE(""https://docs.google.com/spreadsheets/d/1IYY_tgx_IHuhSq3AJ5eI5OnqOPBNLWSHKh2a30DoXe8/edit?usp=sharing"",""พัทลุง!L475"")"),143795)</f>
        <v>143795</v>
      </c>
      <c r="M580" s="379"/>
      <c r="N580" s="379">
        <f ca="1">IFERROR(__xludf.DUMMYFUNCTION("IMPORTRANGE(""https://docs.google.com/spreadsheets/d/1IYY_tgx_IHuhSq3AJ5eI5OnqOPBNLWSHKh2a30DoXe8/edit?usp=sharing"",""พัทลุง!M475"")"),0)</f>
        <v>0</v>
      </c>
      <c r="O580" s="379">
        <f t="shared" ref="O580:O584" ca="1" si="123">+IF(L580&gt;0,N580*100/L580,0)</f>
        <v>0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IFERROR(__xludf.DUMMYFUNCTION("IMPORTRANGE(""https://docs.google.com/spreadsheets/d/1IYY_tgx_IHuhSq3AJ5eI5OnqOPBNLWSHKh2a30DoXe8/edit?usp=sharing"",""พัทลุง!L476"")"),0)</f>
        <v>0</v>
      </c>
      <c r="M581" s="168"/>
      <c r="N581" s="175">
        <f ca="1">IFERROR(__xludf.DUMMYFUNCTION("IMPORTRANGE(""https://docs.google.com/spreadsheets/d/1IYY_tgx_IHuhSq3AJ5eI5OnqOPBNLWSHKh2a30DoXe8/edit?usp=sharing"",""พัทลุง!M476"")"),0)</f>
        <v>0</v>
      </c>
      <c r="O581" s="175">
        <f t="shared" ca="1" si="123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IFERROR(__xludf.DUMMYFUNCTION("IMPORTRANGE(""https://docs.google.com/spreadsheets/d/1IYY_tgx_IHuhSq3AJ5eI5OnqOPBNLWSHKh2a30DoXe8/edit?usp=sharing"",""พัทลุง!L477"")"),143795)</f>
        <v>143795</v>
      </c>
      <c r="M582" s="169"/>
      <c r="N582" s="175">
        <f ca="1">IFERROR(__xludf.DUMMYFUNCTION("IMPORTRANGE(""https://docs.google.com/spreadsheets/d/1IYY_tgx_IHuhSq3AJ5eI5OnqOPBNLWSHKh2a30DoXe8/edit?usp=sharing"",""พัทลุง!M477"")"),0)</f>
        <v>0</v>
      </c>
      <c r="O582" s="175">
        <f t="shared" ca="1" si="123"/>
        <v>0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IFERROR(__xludf.DUMMYFUNCTION("IMPORTRANGE(""https://docs.google.com/spreadsheets/d/1IYY_tgx_IHuhSq3AJ5eI5OnqOPBNLWSHKh2a30DoXe8/edit?usp=sharing"",""พัทลุง!L478"")"),0)</f>
        <v>0</v>
      </c>
      <c r="M583" s="175"/>
      <c r="N583" s="175">
        <f ca="1">IFERROR(__xludf.DUMMYFUNCTION("IMPORTRANGE(""https://docs.google.com/spreadsheets/d/1IYY_tgx_IHuhSq3AJ5eI5OnqOPBNLWSHKh2a30DoXe8/edit?usp=sharing"",""พัทลุง!M478"")"),0)</f>
        <v>0</v>
      </c>
      <c r="O583" s="175">
        <f t="shared" ca="1" si="123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IFERROR(__xludf.DUMMYFUNCTION("IMPORTRANGE(""https://docs.google.com/spreadsheets/d/1IYY_tgx_IHuhSq3AJ5eI5OnqOPBNLWSHKh2a30DoXe8/edit?usp=sharing"",""พัทลุง!L479"")"),143795)</f>
        <v>143795</v>
      </c>
      <c r="M584" s="175"/>
      <c r="N584" s="175">
        <f ca="1">IFERROR(__xludf.DUMMYFUNCTION("IMPORTRANGE(""https://docs.google.com/spreadsheets/d/1IYY_tgx_IHuhSq3AJ5eI5OnqOPBNLWSHKh2a30DoXe8/edit?usp=sharing"",""พัทลุง!M479"")"),0)</f>
        <v>0</v>
      </c>
      <c r="O584" s="175">
        <f t="shared" ca="1" si="123"/>
        <v>0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IFERROR(__xludf.DUMMYFUNCTION("IMPORTRANGE(""https://docs.google.com/spreadsheets/d/1IYY_tgx_IHuhSq3AJ5eI5OnqOPBNLWSHKh2a30DoXe8/edit?usp=sharing"",""พัทลุง!M480"")"),0)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IFERROR(__xludf.DUMMYFUNCTION("IMPORTRANGE(""https://docs.google.com/spreadsheets/d/1IYY_tgx_IHuhSq3AJ5eI5OnqOPBNLWSHKh2a30DoXe8/edit?usp=sharing"",""พัทลุง!M481"")"),0)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IFERROR(__xludf.DUMMYFUNCTION("IMPORTRANGE(""https://docs.google.com/spreadsheets/d/1IYY_tgx_IHuhSq3AJ5eI5OnqOPBNLWSHKh2a30DoXe8/edit?usp=sharing"",""พัทลุง!M482"")"),0)</f>
        <v>0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IFERROR(__xludf.DUMMYFUNCTION("IMPORTRANGE(""https://docs.google.com/spreadsheets/d/1IYY_tgx_IHuhSq3AJ5eI5OnqOPBNLWSHKh2a30DoXe8/edit?usp=sharing"",""พัทลุง!M483"")"),0)</f>
        <v>0</v>
      </c>
      <c r="O588" s="175"/>
      <c r="P588" s="175"/>
    </row>
    <row r="589" spans="1:16" ht="21.75" customHeight="1" x14ac:dyDescent="0.2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IFERROR(__xludf.DUMMYFUNCTION("IMPORTRANGE(""https://docs.google.com/spreadsheets/d/1IYY_tgx_IHuhSq3AJ5eI5OnqOPBNLWSHKh2a30DoXe8/edit?usp=sharing"",""พัทลุง!I484"")"),47)</f>
        <v>47</v>
      </c>
      <c r="J589" s="194">
        <f ca="1">IFERROR(__xludf.DUMMYFUNCTION("IMPORTRANGE(""https://docs.google.com/spreadsheets/d/1IYY_tgx_IHuhSq3AJ5eI5OnqOPBNLWSHKh2a30DoXe8/edit?usp=sharing"",""พัทลุง!J484"")"),0)</f>
        <v>0</v>
      </c>
      <c r="K589" s="167">
        <f t="shared" ref="K589:K596" ca="1" si="124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2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IFERROR(__xludf.DUMMYFUNCTION("IMPORTRANGE(""https://docs.google.com/spreadsheets/d/1IYY_tgx_IHuhSq3AJ5eI5OnqOPBNLWSHKh2a30DoXe8/edit?usp=sharing"",""พัทลุง!I485"")"),0)</f>
        <v>0</v>
      </c>
      <c r="J590" s="194">
        <f ca="1">IFERROR(__xludf.DUMMYFUNCTION("IMPORTRANGE(""https://docs.google.com/spreadsheets/d/1IYY_tgx_IHuhSq3AJ5eI5OnqOPBNLWSHKh2a30DoXe8/edit?usp=sharing"",""พัทลุง!J485"")"),0)</f>
        <v>0</v>
      </c>
      <c r="K590" s="486">
        <f t="shared" ca="1" si="124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IFERROR(__xludf.DUMMYFUNCTION("IMPORTRANGE(""https://docs.google.com/spreadsheets/d/1IYY_tgx_IHuhSq3AJ5eI5OnqOPBNLWSHKh2a30DoXe8/edit?usp=sharing"",""พัทลุง!I486"")"),47)</f>
        <v>47</v>
      </c>
      <c r="J591" s="194">
        <f ca="1">IFERROR(__xludf.DUMMYFUNCTION("IMPORTRANGE(""https://docs.google.com/spreadsheets/d/1IYY_tgx_IHuhSq3AJ5eI5OnqOPBNLWSHKh2a30DoXe8/edit?usp=sharing"",""พัทลุง!J486"")"),1)</f>
        <v>1</v>
      </c>
      <c r="K591" s="167">
        <f t="shared" ca="1" si="124"/>
        <v>2.1276595744680851</v>
      </c>
      <c r="L591" s="188"/>
      <c r="M591" s="188"/>
      <c r="N591" s="188"/>
      <c r="O591" s="188"/>
      <c r="P591" s="188"/>
    </row>
    <row r="592" spans="1:16" ht="21.75" customHeight="1" x14ac:dyDescent="0.2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IFERROR(__xludf.DUMMYFUNCTION("IMPORTRANGE(""https://docs.google.com/spreadsheets/d/1IYY_tgx_IHuhSq3AJ5eI5OnqOPBNLWSHKh2a30DoXe8/edit?usp=sharing"",""พัทลุง!I487"")"),0)</f>
        <v>0</v>
      </c>
      <c r="J592" s="194">
        <f ca="1">IFERROR(__xludf.DUMMYFUNCTION("IMPORTRANGE(""https://docs.google.com/spreadsheets/d/1IYY_tgx_IHuhSq3AJ5eI5OnqOPBNLWSHKh2a30DoXe8/edit?usp=sharing"",""พัทลุง!J487"")"),0.75)</f>
        <v>0.75</v>
      </c>
      <c r="K592" s="348">
        <f t="shared" ca="1" si="124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IFERROR(__xludf.DUMMYFUNCTION("IMPORTRANGE(""https://docs.google.com/spreadsheets/d/1IYY_tgx_IHuhSq3AJ5eI5OnqOPBNLWSHKh2a30DoXe8/edit?usp=sharing"",""พัทลุง!I488"")"),47)</f>
        <v>47</v>
      </c>
      <c r="J593" s="194">
        <f ca="1">IFERROR(__xludf.DUMMYFUNCTION("IMPORTRANGE(""https://docs.google.com/spreadsheets/d/1IYY_tgx_IHuhSq3AJ5eI5OnqOPBNLWSHKh2a30DoXe8/edit?usp=sharing"",""พัทลุง!J488"")"),0)</f>
        <v>0</v>
      </c>
      <c r="K593" s="167">
        <f t="shared" ca="1" si="124"/>
        <v>0</v>
      </c>
      <c r="L593" s="188"/>
      <c r="M593" s="188"/>
      <c r="N593" s="188"/>
      <c r="O593" s="188"/>
      <c r="P593" s="188"/>
    </row>
    <row r="594" spans="1:16" ht="21.75" customHeight="1" x14ac:dyDescent="0.2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IFERROR(__xludf.DUMMYFUNCTION("IMPORTRANGE(""https://docs.google.com/spreadsheets/d/1IYY_tgx_IHuhSq3AJ5eI5OnqOPBNLWSHKh2a30DoXe8/edit?usp=sharing"",""พัทลุง!I489"")"),0)</f>
        <v>0</v>
      </c>
      <c r="J594" s="194">
        <f ca="1">IFERROR(__xludf.DUMMYFUNCTION("IMPORTRANGE(""https://docs.google.com/spreadsheets/d/1IYY_tgx_IHuhSq3AJ5eI5OnqOPBNLWSHKh2a30DoXe8/edit?usp=sharing"",""พัทลุง!J489"")"),0)</f>
        <v>0</v>
      </c>
      <c r="K594" s="348">
        <f t="shared" ca="1" si="124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IFERROR(__xludf.DUMMYFUNCTION("IMPORTRANGE(""https://docs.google.com/spreadsheets/d/1IYY_tgx_IHuhSq3AJ5eI5OnqOPBNLWSHKh2a30DoXe8/edit?usp=sharing"",""พัทลุง!I490"")"),47)</f>
        <v>47</v>
      </c>
      <c r="J595" s="194">
        <f ca="1">IFERROR(__xludf.DUMMYFUNCTION("IMPORTRANGE(""https://docs.google.com/spreadsheets/d/1IYY_tgx_IHuhSq3AJ5eI5OnqOPBNLWSHKh2a30DoXe8/edit?usp=sharing"",""พัทลุง!J490"")"),0)</f>
        <v>0</v>
      </c>
      <c r="K595" s="167">
        <f t="shared" ca="1" si="124"/>
        <v>0</v>
      </c>
      <c r="L595" s="188"/>
      <c r="M595" s="188"/>
      <c r="N595" s="188"/>
      <c r="O595" s="188"/>
      <c r="P595" s="188"/>
    </row>
    <row r="596" spans="1:16" ht="21.75" customHeight="1" x14ac:dyDescent="0.2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IFERROR(__xludf.DUMMYFUNCTION("IMPORTRANGE(""https://docs.google.com/spreadsheets/d/1IYY_tgx_IHuhSq3AJ5eI5OnqOPBNLWSHKh2a30DoXe8/edit?usp=sharing"",""พัทลุง!I491"")"),0)</f>
        <v>0</v>
      </c>
      <c r="J596" s="247">
        <f ca="1">IFERROR(__xludf.DUMMYFUNCTION("IMPORTRANGE(""https://docs.google.com/spreadsheets/d/1IYY_tgx_IHuhSq3AJ5eI5OnqOPBNLWSHKh2a30DoXe8/edit?usp=sharing"",""พัทลุง!J491"")"),0)</f>
        <v>0</v>
      </c>
      <c r="K596" s="493">
        <f t="shared" ca="1" si="124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IFERROR(__xludf.DUMMYFUNCTION("IMPORTRANGE(""https://docs.google.com/spreadsheets/d/1IYY_tgx_IHuhSq3AJ5eI5OnqOPBNLWSHKh2a30DoXe8/edit?usp=sharing"",""พัทลุง!I492"")"),50)</f>
        <v>50</v>
      </c>
      <c r="J597" s="494">
        <f ca="1">IFERROR(__xludf.DUMMYFUNCTION("IMPORTRANGE(""https://docs.google.com/spreadsheets/d/1IYY_tgx_IHuhSq3AJ5eI5OnqOPBNLWSHKh2a30DoXe8/edit?usp=sharing"",""พัทลุง!J492"")"),30)</f>
        <v>30</v>
      </c>
      <c r="K597" s="417">
        <f ca="1">IF(I597&gt;0,J597*100/I597,0)</f>
        <v>60</v>
      </c>
      <c r="L597" s="418">
        <f ca="1">IFERROR(__xludf.DUMMYFUNCTION("IMPORTRANGE(""https://docs.google.com/spreadsheets/d/1IYY_tgx_IHuhSq3AJ5eI5OnqOPBNLWSHKh2a30DoXe8/edit?usp=sharing"",""พัทลุง!L492"")"),14520)</f>
        <v>14520</v>
      </c>
      <c r="M597" s="418"/>
      <c r="N597" s="418">
        <f ca="1">IFERROR(__xludf.DUMMYFUNCTION("IMPORTRANGE(""https://docs.google.com/spreadsheets/d/1IYY_tgx_IHuhSq3AJ5eI5OnqOPBNLWSHKh2a30DoXe8/edit?usp=sharing"",""พัทลุง!M492"")"),5945)</f>
        <v>5945</v>
      </c>
      <c r="O597" s="418">
        <f t="shared" ref="O597:O601" ca="1" si="125">+IF(L597&gt;0,N597*100/L597,0)</f>
        <v>40.943526170798897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IFERROR(__xludf.DUMMYFUNCTION("IMPORTRANGE(""https://docs.google.com/spreadsheets/d/1IYY_tgx_IHuhSq3AJ5eI5OnqOPBNLWSHKh2a30DoXe8/edit?usp=sharing"",""พัทลุง!L493"")"),0)</f>
        <v>0</v>
      </c>
      <c r="M598" s="168"/>
      <c r="N598" s="175">
        <f ca="1">IFERROR(__xludf.DUMMYFUNCTION("IMPORTRANGE(""https://docs.google.com/spreadsheets/d/1IYY_tgx_IHuhSq3AJ5eI5OnqOPBNLWSHKh2a30DoXe8/edit?usp=sharing"",""พัทลุง!M493"")"),0)</f>
        <v>0</v>
      </c>
      <c r="O598" s="175">
        <f t="shared" ca="1" si="125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IFERROR(__xludf.DUMMYFUNCTION("IMPORTRANGE(""https://docs.google.com/spreadsheets/d/1IYY_tgx_IHuhSq3AJ5eI5OnqOPBNLWSHKh2a30DoXe8/edit?usp=sharing"",""พัทลุง!L494"")"),14520)</f>
        <v>14520</v>
      </c>
      <c r="M599" s="169"/>
      <c r="N599" s="175">
        <f ca="1">IFERROR(__xludf.DUMMYFUNCTION("IMPORTRANGE(""https://docs.google.com/spreadsheets/d/1IYY_tgx_IHuhSq3AJ5eI5OnqOPBNLWSHKh2a30DoXe8/edit?usp=sharing"",""พัทลุง!M494"")"),5945)</f>
        <v>5945</v>
      </c>
      <c r="O599" s="175">
        <f t="shared" ca="1" si="125"/>
        <v>40.943526170798897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IFERROR(__xludf.DUMMYFUNCTION("IMPORTRANGE(""https://docs.google.com/spreadsheets/d/1IYY_tgx_IHuhSq3AJ5eI5OnqOPBNLWSHKh2a30DoXe8/edit?usp=sharing"",""พัทลุง!L495"")"),0)</f>
        <v>0</v>
      </c>
      <c r="M600" s="175"/>
      <c r="N600" s="175">
        <f ca="1">IFERROR(__xludf.DUMMYFUNCTION("IMPORTRANGE(""https://docs.google.com/spreadsheets/d/1IYY_tgx_IHuhSq3AJ5eI5OnqOPBNLWSHKh2a30DoXe8/edit?usp=sharing"",""พัทลุง!M495"")"),0)</f>
        <v>0</v>
      </c>
      <c r="O600" s="175">
        <f t="shared" ca="1" si="125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IFERROR(__xludf.DUMMYFUNCTION("IMPORTRANGE(""https://docs.google.com/spreadsheets/d/1IYY_tgx_IHuhSq3AJ5eI5OnqOPBNLWSHKh2a30DoXe8/edit?usp=sharing"",""พัทลุง!L496"")"),14520)</f>
        <v>14520</v>
      </c>
      <c r="M601" s="175"/>
      <c r="N601" s="175">
        <f ca="1">IFERROR(__xludf.DUMMYFUNCTION("IMPORTRANGE(""https://docs.google.com/spreadsheets/d/1IYY_tgx_IHuhSq3AJ5eI5OnqOPBNLWSHKh2a30DoXe8/edit?usp=sharing"",""พัทลุง!M496"")"),5945)</f>
        <v>5945</v>
      </c>
      <c r="O601" s="175">
        <f t="shared" ca="1" si="125"/>
        <v>40.943526170798897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IFERROR(__xludf.DUMMYFUNCTION("IMPORTRANGE(""https://docs.google.com/spreadsheets/d/1IYY_tgx_IHuhSq3AJ5eI5OnqOPBNLWSHKh2a30DoXe8/edit?usp=sharing"",""พัทลุง!M497"")"),0)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IFERROR(__xludf.DUMMYFUNCTION("IMPORTRANGE(""https://docs.google.com/spreadsheets/d/1IYY_tgx_IHuhSq3AJ5eI5OnqOPBNLWSHKh2a30DoXe8/edit?usp=sharing"",""พัทลุง!M498"")"),0)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IFERROR(__xludf.DUMMYFUNCTION("IMPORTRANGE(""https://docs.google.com/spreadsheets/d/1IYY_tgx_IHuhSq3AJ5eI5OnqOPBNLWSHKh2a30DoXe8/edit?usp=sharing"",""พัทลุง!M499"")"),0)</f>
        <v>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IFERROR(__xludf.DUMMYFUNCTION("IMPORTRANGE(""https://docs.google.com/spreadsheets/d/1IYY_tgx_IHuhSq3AJ5eI5OnqOPBNLWSHKh2a30DoXe8/edit?usp=sharing"",""พัทลุง!M500"")"),5945)</f>
        <v>5945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IFERROR(__xludf.DUMMYFUNCTION("IMPORTRANGE(""https://docs.google.com/spreadsheets/d/1IYY_tgx_IHuhSq3AJ5eI5OnqOPBNLWSHKh2a30DoXe8/edit?usp=sharing"",""พัทลุง!J502"")"),0)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IFERROR(__xludf.DUMMYFUNCTION("IMPORTRANGE(""https://docs.google.com/spreadsheets/d/1IYY_tgx_IHuhSq3AJ5eI5OnqOPBNLWSHKh2a30DoXe8/edit?usp=sharing"",""พัทลุง!J503"")"),1)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IFERROR(__xludf.DUMMYFUNCTION("IMPORTRANGE(""https://docs.google.com/spreadsheets/d/1IYY_tgx_IHuhSq3AJ5eI5OnqOPBNLWSHKh2a30DoXe8/edit?usp=sharing"",""พัทลุง!J166"")"),0)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2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IFERROR(__xludf.DUMMYFUNCTION("IMPORTRANGE(""https://docs.google.com/spreadsheets/d/1IYY_tgx_IHuhSq3AJ5eI5OnqOPBNLWSHKh2a30DoXe8/edit?usp=sharing"",""พัทลุง!J166"")"),0)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IFERROR(__xludf.DUMMYFUNCTION("IMPORTRANGE(""https://docs.google.com/spreadsheets/d/1IYY_tgx_IHuhSq3AJ5eI5OnqOPBNLWSHKh2a30DoXe8/edit?usp=sharing"",""พัทลุง!I506"")"),50)</f>
        <v>50</v>
      </c>
      <c r="J611" s="166">
        <f ca="1">IFERROR(__xludf.DUMMYFUNCTION("IMPORTRANGE(""https://docs.google.com/spreadsheets/d/1IYY_tgx_IHuhSq3AJ5eI5OnqOPBNLWSHKh2a30DoXe8/edit?usp=sharing"",""พัทลุง!J506"")"),30)</f>
        <v>30</v>
      </c>
      <c r="K611" s="167">
        <f t="shared" ref="K611:K619" ca="1" si="126">IF(I$611&gt;0,J611*100/I$611,0)</f>
        <v>60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IFERROR(__xludf.DUMMYFUNCTION("IMPORTRANGE(""https://docs.google.com/spreadsheets/d/1IYY_tgx_IHuhSq3AJ5eI5OnqOPBNLWSHKh2a30DoXe8/edit?usp=sharing"",""พัทลุง!I507"")"),0)</f>
        <v>0</v>
      </c>
      <c r="J612" s="204">
        <f ca="1">IFERROR(__xludf.DUMMYFUNCTION("IMPORTRANGE(""https://docs.google.com/spreadsheets/d/1IYY_tgx_IHuhSq3AJ5eI5OnqOPBNLWSHKh2a30DoXe8/edit?usp=sharing"",""พัทลุง!J507"")"),30)</f>
        <v>30</v>
      </c>
      <c r="K612" s="167">
        <f t="shared" ca="1" si="126"/>
        <v>60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IFERROR(__xludf.DUMMYFUNCTION("IMPORTRANGE(""https://docs.google.com/spreadsheets/d/1IYY_tgx_IHuhSq3AJ5eI5OnqOPBNLWSHKh2a30DoXe8/edit?usp=sharing"",""พัทลุง!I508"")"),0)</f>
        <v>0</v>
      </c>
      <c r="J613" s="204">
        <f ca="1">IFERROR(__xludf.DUMMYFUNCTION("IMPORTRANGE(""https://docs.google.com/spreadsheets/d/1IYY_tgx_IHuhSq3AJ5eI5OnqOPBNLWSHKh2a30DoXe8/edit?usp=sharing"",""พัทลุง!J508"")"),30)</f>
        <v>30</v>
      </c>
      <c r="K613" s="167">
        <f t="shared" ca="1" si="126"/>
        <v>60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IFERROR(__xludf.DUMMYFUNCTION("IMPORTRANGE(""https://docs.google.com/spreadsheets/d/1IYY_tgx_IHuhSq3AJ5eI5OnqOPBNLWSHKh2a30DoXe8/edit?usp=sharing"",""พัทลุง!I509"")"),0)</f>
        <v>0</v>
      </c>
      <c r="J614" s="204">
        <f ca="1">IFERROR(__xludf.DUMMYFUNCTION("IMPORTRANGE(""https://docs.google.com/spreadsheets/d/1IYY_tgx_IHuhSq3AJ5eI5OnqOPBNLWSHKh2a30DoXe8/edit?usp=sharing"",""พัทลุง!J509"")"),30)</f>
        <v>30</v>
      </c>
      <c r="K614" s="167">
        <f t="shared" ca="1" si="126"/>
        <v>60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IFERROR(__xludf.DUMMYFUNCTION("IMPORTRANGE(""https://docs.google.com/spreadsheets/d/1IYY_tgx_IHuhSq3AJ5eI5OnqOPBNLWSHKh2a30DoXe8/edit?usp=sharing"",""พัทลุง!I510"")"),0)</f>
        <v>0</v>
      </c>
      <c r="J615" s="204">
        <f ca="1">IFERROR(__xludf.DUMMYFUNCTION("IMPORTRANGE(""https://docs.google.com/spreadsheets/d/1IYY_tgx_IHuhSq3AJ5eI5OnqOPBNLWSHKh2a30DoXe8/edit?usp=sharing"",""พัทลุง!J510"")"),30)</f>
        <v>30</v>
      </c>
      <c r="K615" s="167">
        <f t="shared" ca="1" si="126"/>
        <v>60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IFERROR(__xludf.DUMMYFUNCTION("IMPORTRANGE(""https://docs.google.com/spreadsheets/d/1IYY_tgx_IHuhSq3AJ5eI5OnqOPBNLWSHKh2a30DoXe8/edit?usp=sharing"",""พัทลุง!I511"")"),0)</f>
        <v>0</v>
      </c>
      <c r="J616" s="204">
        <f ca="1">IFERROR(__xludf.DUMMYFUNCTION("IMPORTRANGE(""https://docs.google.com/spreadsheets/d/1IYY_tgx_IHuhSq3AJ5eI5OnqOPBNLWSHKh2a30DoXe8/edit?usp=sharing"",""พัทลุง!J511"")"),30)</f>
        <v>30</v>
      </c>
      <c r="K616" s="167">
        <f t="shared" ca="1" si="126"/>
        <v>60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IFERROR(__xludf.DUMMYFUNCTION("IMPORTRANGE(""https://docs.google.com/spreadsheets/d/1IYY_tgx_IHuhSq3AJ5eI5OnqOPBNLWSHKh2a30DoXe8/edit?usp=sharing"",""พัทลุง!I512"")"),0)</f>
        <v>0</v>
      </c>
      <c r="J617" s="194">
        <f ca="1">IFERROR(__xludf.DUMMYFUNCTION("IMPORTRANGE(""https://docs.google.com/spreadsheets/d/1IYY_tgx_IHuhSq3AJ5eI5OnqOPBNLWSHKh2a30DoXe8/edit?usp=sharing"",""พัทลุง!J512"")"),30)</f>
        <v>30</v>
      </c>
      <c r="K617" s="167">
        <f t="shared" ca="1" si="126"/>
        <v>60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IFERROR(__xludf.DUMMYFUNCTION("IMPORTRANGE(""https://docs.google.com/spreadsheets/d/1IYY_tgx_IHuhSq3AJ5eI5OnqOPBNLWSHKh2a30DoXe8/edit?usp=sharing"",""พัทลุง!I513"")"),0)</f>
        <v>0</v>
      </c>
      <c r="J618" s="195">
        <f ca="1">IFERROR(__xludf.DUMMYFUNCTION("IMPORTRANGE(""https://docs.google.com/spreadsheets/d/1IYY_tgx_IHuhSq3AJ5eI5OnqOPBNLWSHKh2a30DoXe8/edit?usp=sharing"",""พัทลุง!J513"")"),0)</f>
        <v>0</v>
      </c>
      <c r="K618" s="167">
        <f t="shared" ca="1" si="126"/>
        <v>0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IFERROR(__xludf.DUMMYFUNCTION("IMPORTRANGE(""https://docs.google.com/spreadsheets/d/1IYY_tgx_IHuhSq3AJ5eI5OnqOPBNLWSHKh2a30DoXe8/edit?usp=sharing"",""พัทลุง!I514"")"),0)</f>
        <v>0</v>
      </c>
      <c r="J619" s="195">
        <f ca="1">IFERROR(__xludf.DUMMYFUNCTION("IMPORTRANGE(""https://docs.google.com/spreadsheets/d/1IYY_tgx_IHuhSq3AJ5eI5OnqOPBNLWSHKh2a30DoXe8/edit?usp=sharing"",""พัทลุง!J514"")"),30)</f>
        <v>30</v>
      </c>
      <c r="K619" s="167">
        <f t="shared" ca="1" si="126"/>
        <v>60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IFERROR(__xludf.DUMMYFUNCTION("IMPORTRANGE(""https://docs.google.com/spreadsheets/d/1IYY_tgx_IHuhSq3AJ5eI5OnqOPBNLWSHKh2a30DoXe8/edit?usp=sharing"",""พัทลุง!I515"")"),0)</f>
        <v>0</v>
      </c>
      <c r="J620" s="209">
        <f ca="1">IFERROR(__xludf.DUMMYFUNCTION("IMPORTRANGE(""https://docs.google.com/spreadsheets/d/1IYY_tgx_IHuhSq3AJ5eI5OnqOPBNLWSHKh2a30DoXe8/edit?usp=sharing"",""พัทลุง!J515"")"),0)</f>
        <v>0</v>
      </c>
      <c r="K620" s="167">
        <f t="shared" ref="K620:K626" ca="1" si="127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IFERROR(__xludf.DUMMYFUNCTION("IMPORTRANGE(""https://docs.google.com/spreadsheets/d/1IYY_tgx_IHuhSq3AJ5eI5OnqOPBNLWSHKh2a30DoXe8/edit?usp=sharing"",""พัทลุง!I516"")"),0)</f>
        <v>0</v>
      </c>
      <c r="J621" s="209">
        <f ca="1">IFERROR(__xludf.DUMMYFUNCTION("IMPORTRANGE(""https://docs.google.com/spreadsheets/d/1IYY_tgx_IHuhSq3AJ5eI5OnqOPBNLWSHKh2a30DoXe8/edit?usp=sharing"",""พัทลุง!J516"")"),0)</f>
        <v>0</v>
      </c>
      <c r="K621" s="167">
        <f t="shared" ca="1" si="127"/>
        <v>0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IFERROR(__xludf.DUMMYFUNCTION("IMPORTRANGE(""https://docs.google.com/spreadsheets/d/1IYY_tgx_IHuhSq3AJ5eI5OnqOPBNLWSHKh2a30DoXe8/edit?usp=sharing"",""พัทลุง!I517"")"),0)</f>
        <v>0</v>
      </c>
      <c r="J622" s="195">
        <f ca="1">IFERROR(__xludf.DUMMYFUNCTION("IMPORTRANGE(""https://docs.google.com/spreadsheets/d/1IYY_tgx_IHuhSq3AJ5eI5OnqOPBNLWSHKh2a30DoXe8/edit?usp=sharing"",""พัทลุง!J517"")"),0)</f>
        <v>0</v>
      </c>
      <c r="K622" s="167">
        <f t="shared" ca="1" si="127"/>
        <v>0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IFERROR(__xludf.DUMMYFUNCTION("IMPORTRANGE(""https://docs.google.com/spreadsheets/d/1IYY_tgx_IHuhSq3AJ5eI5OnqOPBNLWSHKh2a30DoXe8/edit?usp=sharing"",""พัทลุง!I518"")"),0)</f>
        <v>0</v>
      </c>
      <c r="J623" s="195">
        <f ca="1">IFERROR(__xludf.DUMMYFUNCTION("IMPORTRANGE(""https://docs.google.com/spreadsheets/d/1IYY_tgx_IHuhSq3AJ5eI5OnqOPBNLWSHKh2a30DoXe8/edit?usp=sharing"",""พัทลุง!J518"")"),0)</f>
        <v>0</v>
      </c>
      <c r="K623" s="167">
        <f t="shared" ca="1" si="127"/>
        <v>0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IFERROR(__xludf.DUMMYFUNCTION("IMPORTRANGE(""https://docs.google.com/spreadsheets/d/1IYY_tgx_IHuhSq3AJ5eI5OnqOPBNLWSHKh2a30DoXe8/edit?usp=sharing"",""พัทลุง!I519"")"),0)</f>
        <v>0</v>
      </c>
      <c r="J624" s="194">
        <f ca="1">IFERROR(__xludf.DUMMYFUNCTION("IMPORTRANGE(""https://docs.google.com/spreadsheets/d/1IYY_tgx_IHuhSq3AJ5eI5OnqOPBNLWSHKh2a30DoXe8/edit?usp=sharing"",""พัทลุง!J519"")"),0)</f>
        <v>0</v>
      </c>
      <c r="K624" s="167">
        <f t="shared" ca="1" si="127"/>
        <v>0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IFERROR(__xludf.DUMMYFUNCTION("IMPORTRANGE(""https://docs.google.com/spreadsheets/d/1IYY_tgx_IHuhSq3AJ5eI5OnqOPBNLWSHKh2a30DoXe8/edit?usp=sharing"",""พัทลุง!I520"")"),0)</f>
        <v>0</v>
      </c>
      <c r="J625" s="195">
        <f ca="1">IFERROR(__xludf.DUMMYFUNCTION("IMPORTRANGE(""https://docs.google.com/spreadsheets/d/1IYY_tgx_IHuhSq3AJ5eI5OnqOPBNLWSHKh2a30DoXe8/edit?usp=sharing"",""พัทลุง!J520"")"),0)</f>
        <v>0</v>
      </c>
      <c r="K625" s="167">
        <f t="shared" ca="1" si="127"/>
        <v>0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IFERROR(__xludf.DUMMYFUNCTION("IMPORTRANGE(""https://docs.google.com/spreadsheets/d/1IYY_tgx_IHuhSq3AJ5eI5OnqOPBNLWSHKh2a30DoXe8/edit?usp=sharing"",""พัทลุง!I521"")"),0)</f>
        <v>0</v>
      </c>
      <c r="J626" s="195">
        <f ca="1">IFERROR(__xludf.DUMMYFUNCTION("IMPORTRANGE(""https://docs.google.com/spreadsheets/d/1IYY_tgx_IHuhSq3AJ5eI5OnqOPBNLWSHKh2a30DoXe8/edit?usp=sharing"",""พัทลุง!J521"")"),0)</f>
        <v>0</v>
      </c>
      <c r="K626" s="167">
        <f t="shared" ca="1" si="127"/>
        <v>0</v>
      </c>
      <c r="L626" s="188"/>
      <c r="M626" s="188"/>
      <c r="N626" s="188"/>
      <c r="O626" s="188"/>
      <c r="P626" s="188"/>
    </row>
    <row r="627" spans="1:16" ht="21.75" customHeight="1" x14ac:dyDescent="0.2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2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IFERROR(__xludf.DUMMYFUNCTION("IMPORTRANGE(""https://docs.google.com/spreadsheets/d/1IYY_tgx_IHuhSq3AJ5eI5OnqOPBNLWSHKh2a30DoXe8/edit?usp=sharing"",""พัทลุง!I523"")"),1565319.63)</f>
        <v>1565319.63</v>
      </c>
      <c r="J628" s="347">
        <f ca="1">IFERROR(__xludf.DUMMYFUNCTION("IMPORTRANGE(""https://docs.google.com/spreadsheets/d/1IYY_tgx_IHuhSq3AJ5eI5OnqOPBNLWSHKh2a30DoXe8/edit?usp=sharing"",""พัทลุง!J523"")"),1543729.06)</f>
        <v>1543729.06</v>
      </c>
      <c r="K628" s="348">
        <f t="shared" ref="K628:K635" ca="1" si="128">IF(I628&gt;0,J628*100/I628,0)</f>
        <v>98.620692567434304</v>
      </c>
      <c r="L628" s="348"/>
      <c r="M628" s="348"/>
      <c r="N628" s="348"/>
      <c r="O628" s="175"/>
      <c r="P628" s="175"/>
    </row>
    <row r="629" spans="1:16" ht="21.75" customHeight="1" x14ac:dyDescent="0.2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IFERROR(__xludf.DUMMYFUNCTION("IMPORTRANGE(""https://docs.google.com/spreadsheets/d/1IYY_tgx_IHuhSq3AJ5eI5OnqOPBNLWSHKh2a30DoXe8/edit?usp=sharing"",""พัทลุง!I524"")"),158)</f>
        <v>158</v>
      </c>
      <c r="J629" s="347">
        <f ca="1">IFERROR(__xludf.DUMMYFUNCTION("IMPORTRANGE(""https://docs.google.com/spreadsheets/d/1IYY_tgx_IHuhSq3AJ5eI5OnqOPBNLWSHKh2a30DoXe8/edit?usp=sharing"",""พัทลุง!J524"")"),155)</f>
        <v>155</v>
      </c>
      <c r="K629" s="348">
        <f t="shared" ca="1" si="128"/>
        <v>98.101265822784811</v>
      </c>
      <c r="L629" s="348"/>
      <c r="M629" s="348"/>
      <c r="N629" s="348"/>
      <c r="O629" s="175"/>
      <c r="P629" s="175"/>
    </row>
    <row r="630" spans="1:16" ht="21.75" customHeight="1" x14ac:dyDescent="0.2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IFERROR(__xludf.DUMMYFUNCTION("IMPORTRANGE(""https://docs.google.com/spreadsheets/d/1IYY_tgx_IHuhSq3AJ5eI5OnqOPBNLWSHKh2a30DoXe8/edit?usp=sharing"",""พัทลุง!I525"")"),924231.6)</f>
        <v>924231.6</v>
      </c>
      <c r="J630" s="347">
        <f ca="1">IFERROR(__xludf.DUMMYFUNCTION("IMPORTRANGE(""https://docs.google.com/spreadsheets/d/1IYY_tgx_IHuhSq3AJ5eI5OnqOPBNLWSHKh2a30DoXe8/edit?usp=sharing"",""พัทลุง!J525"")"),226580.21)</f>
        <v>226580.21</v>
      </c>
      <c r="K630" s="348">
        <f t="shared" ca="1" si="128"/>
        <v>24.51552294900975</v>
      </c>
      <c r="L630" s="348"/>
      <c r="M630" s="348"/>
      <c r="N630" s="348"/>
      <c r="O630" s="175"/>
      <c r="P630" s="175"/>
    </row>
    <row r="631" spans="1:16" ht="21.75" customHeight="1" x14ac:dyDescent="0.2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IFERROR(__xludf.DUMMYFUNCTION("IMPORTRANGE(""https://docs.google.com/spreadsheets/d/1IYY_tgx_IHuhSq3AJ5eI5OnqOPBNLWSHKh2a30DoXe8/edit?usp=sharing"",""พัทลุง!I526"")"),56)</f>
        <v>56</v>
      </c>
      <c r="J631" s="347">
        <f ca="1">IFERROR(__xludf.DUMMYFUNCTION("IMPORTRANGE(""https://docs.google.com/spreadsheets/d/1IYY_tgx_IHuhSq3AJ5eI5OnqOPBNLWSHKh2a30DoXe8/edit?usp=sharing"",""พัทลุง!J526"")"),45)</f>
        <v>45</v>
      </c>
      <c r="K631" s="348">
        <f t="shared" ca="1" si="128"/>
        <v>80.357142857142861</v>
      </c>
      <c r="L631" s="348"/>
      <c r="M631" s="348"/>
      <c r="N631" s="348"/>
      <c r="O631" s="175"/>
      <c r="P631" s="175"/>
    </row>
    <row r="632" spans="1:16" ht="21.75" customHeight="1" x14ac:dyDescent="0.2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IFERROR(__xludf.DUMMYFUNCTION("IMPORTRANGE(""https://docs.google.com/spreadsheets/d/1IYY_tgx_IHuhSq3AJ5eI5OnqOPBNLWSHKh2a30DoXe8/edit?usp=sharing"",""พัทลุง!I527"")"),0)</f>
        <v>0</v>
      </c>
      <c r="J632" s="347">
        <f ca="1">IFERROR(__xludf.DUMMYFUNCTION("IMPORTRANGE(""https://docs.google.com/spreadsheets/d/1IYY_tgx_IHuhSq3AJ5eI5OnqOPBNLWSHKh2a30DoXe8/edit?usp=sharing"",""พัทลุง!J527"")"),0)</f>
        <v>0</v>
      </c>
      <c r="K632" s="348">
        <f t="shared" ca="1" si="128"/>
        <v>0</v>
      </c>
      <c r="L632" s="348"/>
      <c r="M632" s="348"/>
      <c r="N632" s="348"/>
      <c r="O632" s="175"/>
      <c r="P632" s="175"/>
    </row>
    <row r="633" spans="1:16" ht="21.75" customHeight="1" x14ac:dyDescent="0.2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IFERROR(__xludf.DUMMYFUNCTION("IMPORTRANGE(""https://docs.google.com/spreadsheets/d/1IYY_tgx_IHuhSq3AJ5eI5OnqOPBNLWSHKh2a30DoXe8/edit?usp=sharing"",""พัทลุง!I528"")"),0)</f>
        <v>0</v>
      </c>
      <c r="J633" s="347">
        <f ca="1">IFERROR(__xludf.DUMMYFUNCTION("IMPORTRANGE(""https://docs.google.com/spreadsheets/d/1IYY_tgx_IHuhSq3AJ5eI5OnqOPBNLWSHKh2a30DoXe8/edit?usp=sharing"",""พัทลุง!J528"")"),0)</f>
        <v>0</v>
      </c>
      <c r="K633" s="348">
        <f t="shared" ca="1" si="128"/>
        <v>0</v>
      </c>
      <c r="L633" s="348"/>
      <c r="M633" s="348"/>
      <c r="N633" s="348"/>
      <c r="O633" s="175"/>
      <c r="P633" s="175"/>
    </row>
    <row r="634" spans="1:16" ht="21.75" customHeight="1" x14ac:dyDescent="0.2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IFERROR(__xludf.DUMMYFUNCTION("IMPORTRANGE(""https://docs.google.com/spreadsheets/d/1IYY_tgx_IHuhSq3AJ5eI5OnqOPBNLWSHKh2a30DoXe8/edit?usp=sharing"",""พัทลุง!I529"")"),1220000)</f>
        <v>1220000</v>
      </c>
      <c r="J634" s="347">
        <f ca="1">IFERROR(__xludf.DUMMYFUNCTION("IMPORTRANGE(""https://docs.google.com/spreadsheets/d/1IYY_tgx_IHuhSq3AJ5eI5OnqOPBNLWSHKh2a30DoXe8/edit?usp=sharing"",""พัทลุง!J529"")"),1220000)</f>
        <v>1220000</v>
      </c>
      <c r="K634" s="348">
        <f t="shared" ca="1" si="128"/>
        <v>100</v>
      </c>
      <c r="L634" s="348"/>
      <c r="M634" s="348"/>
      <c r="N634" s="348"/>
      <c r="O634" s="175"/>
      <c r="P634" s="175"/>
    </row>
    <row r="635" spans="1:16" ht="21.75" customHeight="1" x14ac:dyDescent="0.25">
      <c r="A635" s="487"/>
      <c r="B635" s="489"/>
      <c r="C635" s="489"/>
      <c r="D635" s="488"/>
      <c r="E635" s="515"/>
      <c r="F635" s="515"/>
      <c r="G635" s="516"/>
      <c r="H635" s="517" t="s">
        <v>37</v>
      </c>
      <c r="I635" s="518">
        <f ca="1">IFERROR(__xludf.DUMMYFUNCTION("IMPORTRANGE(""https://docs.google.com/spreadsheets/d/1IYY_tgx_IHuhSq3AJ5eI5OnqOPBNLWSHKh2a30DoXe8/edit?usp=sharing"",""พัทลุง!I530"")"),41)</f>
        <v>41</v>
      </c>
      <c r="J635" s="518">
        <f ca="1">IFERROR(__xludf.DUMMYFUNCTION("IMPORTRANGE(""https://docs.google.com/spreadsheets/d/1IYY_tgx_IHuhSq3AJ5eI5OnqOPBNLWSHKh2a30DoXe8/edit?usp=sharing"",""พัทลุง!J530"")"),34)</f>
        <v>34</v>
      </c>
      <c r="K635" s="493">
        <f t="shared" ca="1" si="128"/>
        <v>82.926829268292678</v>
      </c>
      <c r="L635" s="493"/>
      <c r="M635" s="493"/>
      <c r="N635" s="493"/>
      <c r="O635" s="519"/>
      <c r="P635" s="519"/>
    </row>
    <row r="636" spans="1:16" ht="21.75" customHeight="1" x14ac:dyDescent="0.3">
      <c r="A636" s="520"/>
      <c r="B636" s="599" t="s">
        <v>237</v>
      </c>
      <c r="C636" s="600"/>
      <c r="D636" s="600"/>
      <c r="E636" s="600"/>
      <c r="F636" s="600"/>
      <c r="G636" s="600"/>
      <c r="H636" s="521"/>
      <c r="I636" s="521"/>
      <c r="J636" s="521"/>
      <c r="K636" s="522"/>
      <c r="L636" s="523">
        <f ca="1">SUM(L637,L638)</f>
        <v>0</v>
      </c>
      <c r="M636" s="524"/>
      <c r="N636" s="523">
        <f ca="1">SUM(N637:N638)</f>
        <v>0</v>
      </c>
      <c r="O636" s="523">
        <f t="shared" ref="O636:O640" ca="1" si="129">+IF(L636&gt;0,N636*100/L636,0)</f>
        <v>0</v>
      </c>
      <c r="P636" s="523"/>
    </row>
    <row r="637" spans="1:16" ht="21.75" customHeight="1" x14ac:dyDescent="0.3">
      <c r="A637" s="525"/>
      <c r="B637" s="526"/>
      <c r="C637" s="527" t="s">
        <v>16</v>
      </c>
      <c r="D637" s="601" t="s">
        <v>77</v>
      </c>
      <c r="E637" s="575"/>
      <c r="F637" s="575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129"/>
        <v>0</v>
      </c>
      <c r="P637" s="535"/>
    </row>
    <row r="638" spans="1:16" ht="21.75" customHeight="1" x14ac:dyDescent="0.3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0</v>
      </c>
      <c r="M638" s="534"/>
      <c r="N638" s="535">
        <f ca="1">SUM(N639:N640)</f>
        <v>0</v>
      </c>
      <c r="O638" s="535">
        <f t="shared" ca="1" si="129"/>
        <v>0</v>
      </c>
      <c r="P638" s="535"/>
    </row>
    <row r="639" spans="1:16" ht="21.75" customHeight="1" x14ac:dyDescent="0.3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129"/>
        <v>0</v>
      </c>
      <c r="P639" s="535"/>
    </row>
    <row r="640" spans="1:16" ht="21.75" customHeight="1" x14ac:dyDescent="0.3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0</v>
      </c>
      <c r="M640" s="534"/>
      <c r="N640" s="535">
        <f ca="1">SUM(N641:N644)</f>
        <v>0</v>
      </c>
      <c r="O640" s="535">
        <f t="shared" ca="1" si="129"/>
        <v>0</v>
      </c>
      <c r="P640" s="535"/>
    </row>
    <row r="641" spans="1:16" ht="21.75" customHeight="1" x14ac:dyDescent="0.3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3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3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3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0</v>
      </c>
      <c r="O644" s="537"/>
      <c r="P644" s="537"/>
    </row>
    <row r="645" spans="1:16" ht="21.75" customHeight="1" x14ac:dyDescent="0.3">
      <c r="A645" s="539"/>
      <c r="B645" s="540"/>
      <c r="C645" s="527" t="s">
        <v>16</v>
      </c>
      <c r="D645" s="602" t="s">
        <v>242</v>
      </c>
      <c r="E645" s="575"/>
      <c r="F645" s="575"/>
      <c r="G645" s="575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3">
      <c r="A646" s="539"/>
      <c r="B646" s="540"/>
      <c r="C646" s="540"/>
      <c r="D646" s="541">
        <v>1</v>
      </c>
      <c r="E646" s="603" t="s">
        <v>44</v>
      </c>
      <c r="F646" s="575"/>
      <c r="G646" s="575"/>
      <c r="H646" s="536"/>
      <c r="I646" s="542"/>
      <c r="J646" s="543">
        <f ca="1">IFERROR(__xludf.DUMMYFUNCTION("IMPORTRANGE(""https://docs.google.com/spreadsheets/d/1IYY_tgx_IHuhSq3AJ5eI5OnqOPBNLWSHKh2a30DoXe8/edit?usp=sharing"",""พัทลุง!J541"")"),0)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3">
      <c r="A647" s="539"/>
      <c r="B647" s="540"/>
      <c r="C647" s="540"/>
      <c r="D647" s="545">
        <v>2</v>
      </c>
      <c r="E647" s="604" t="s">
        <v>243</v>
      </c>
      <c r="F647" s="575"/>
      <c r="G647" s="575"/>
      <c r="H647" s="536"/>
      <c r="I647" s="542"/>
      <c r="J647" s="543">
        <f ca="1">IFERROR(__xludf.DUMMYFUNCTION("IMPORTRANGE(""https://docs.google.com/spreadsheets/d/1IYY_tgx_IHuhSq3AJ5eI5OnqOPBNLWSHKh2a30DoXe8/edit?usp=sharing"",""พัทลุง!J542"")"),0)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3">
      <c r="A648" s="525"/>
      <c r="B648" s="526"/>
      <c r="C648" s="526"/>
      <c r="D648" s="526"/>
      <c r="E648" s="526"/>
      <c r="F648" s="598" t="s">
        <v>244</v>
      </c>
      <c r="G648" s="575"/>
      <c r="H648" s="529" t="s">
        <v>122</v>
      </c>
      <c r="I648" s="546">
        <f ca="1">IFERROR(__xludf.DUMMYFUNCTION("IMPORTRANGE(""https://docs.google.com/spreadsheets/d/1IYY_tgx_IHuhSq3AJ5eI5OnqOPBNLWSHKh2a30DoXe8/edit?usp=sharing"",""พัทลุง!I543"")"),0)</f>
        <v>0</v>
      </c>
      <c r="J648" s="547">
        <f ca="1">IFERROR(__xludf.DUMMYFUNCTION("IMPORTRANGE(""https://docs.google.com/spreadsheets/d/1IYY_tgx_IHuhSq3AJ5eI5OnqOPBNLWSHKh2a30DoXe8/edit?usp=sharing"",""พัทลุง!J543"")"),0)</f>
        <v>0</v>
      </c>
      <c r="K648" s="548">
        <f t="shared" ref="K648:K651" ca="1" si="130">IF(I648&gt;0,J648*100/I648,0)</f>
        <v>0</v>
      </c>
      <c r="L648" s="535">
        <f ca="1">IFERROR(__xludf.DUMMYFUNCTION("IMPORTRANGE(""https://docs.google.com/spreadsheets/d/1IYY_tgx_IHuhSq3AJ5eI5OnqOPBNLWSHKh2a30DoXe8/edit?usp=sharing"",""พัทลุง!L543"")"),0)</f>
        <v>0</v>
      </c>
      <c r="M648" s="534"/>
      <c r="N648" s="549">
        <f ca="1">IFERROR(__xludf.DUMMYFUNCTION("IMPORTRANGE(""https://docs.google.com/spreadsheets/d/1IYY_tgx_IHuhSq3AJ5eI5OnqOPBNLWSHKh2a30DoXe8/edit?usp=sharing"",""พัทลุง!M543"")"),0)</f>
        <v>0</v>
      </c>
      <c r="O648" s="548">
        <f t="shared" ref="O648:O651" ca="1" si="131">IF(L648&gt;0,N648*100/L648,0)</f>
        <v>0</v>
      </c>
      <c r="P648" s="548"/>
    </row>
    <row r="649" spans="1:16" ht="21.75" customHeight="1" x14ac:dyDescent="0.3">
      <c r="A649" s="525"/>
      <c r="B649" s="526"/>
      <c r="C649" s="526"/>
      <c r="D649" s="526"/>
      <c r="E649" s="526"/>
      <c r="F649" s="598" t="s">
        <v>245</v>
      </c>
      <c r="G649" s="575"/>
      <c r="H649" s="529" t="s">
        <v>37</v>
      </c>
      <c r="I649" s="546">
        <f ca="1">IFERROR(__xludf.DUMMYFUNCTION("IMPORTRANGE(""https://docs.google.com/spreadsheets/d/1IYY_tgx_IHuhSq3AJ5eI5OnqOPBNLWSHKh2a30DoXe8/edit?usp=sharing"",""พัทลุง!I544"")"),0)</f>
        <v>0</v>
      </c>
      <c r="J649" s="547">
        <f ca="1">IFERROR(__xludf.DUMMYFUNCTION("IMPORTRANGE(""https://docs.google.com/spreadsheets/d/1IYY_tgx_IHuhSq3AJ5eI5OnqOPBNLWSHKh2a30DoXe8/edit?usp=sharing"",""พัทลุง!J544"")"),0)</f>
        <v>0</v>
      </c>
      <c r="K649" s="548">
        <f t="shared" ca="1" si="130"/>
        <v>0</v>
      </c>
      <c r="L649" s="535">
        <f ca="1">IFERROR(__xludf.DUMMYFUNCTION("IMPORTRANGE(""https://docs.google.com/spreadsheets/d/1IYY_tgx_IHuhSq3AJ5eI5OnqOPBNLWSHKh2a30DoXe8/edit?usp=sharing"",""พัทลุง!L544"")"),0)</f>
        <v>0</v>
      </c>
      <c r="M649" s="534"/>
      <c r="N649" s="549">
        <f ca="1">IFERROR(__xludf.DUMMYFUNCTION("IMPORTRANGE(""https://docs.google.com/spreadsheets/d/1IYY_tgx_IHuhSq3AJ5eI5OnqOPBNLWSHKh2a30DoXe8/edit?usp=sharing"",""พัทลุง!M544"")"),0)</f>
        <v>0</v>
      </c>
      <c r="O649" s="548">
        <f t="shared" ca="1" si="131"/>
        <v>0</v>
      </c>
      <c r="P649" s="548"/>
    </row>
    <row r="650" spans="1:16" ht="21.75" customHeight="1" x14ac:dyDescent="0.3">
      <c r="A650" s="525"/>
      <c r="B650" s="526"/>
      <c r="C650" s="526"/>
      <c r="D650" s="526"/>
      <c r="E650" s="526"/>
      <c r="F650" s="598" t="s">
        <v>246</v>
      </c>
      <c r="G650" s="575"/>
      <c r="H650" s="529" t="s">
        <v>122</v>
      </c>
      <c r="I650" s="546">
        <f ca="1">IFERROR(__xludf.DUMMYFUNCTION("IMPORTRANGE(""https://docs.google.com/spreadsheets/d/1IYY_tgx_IHuhSq3AJ5eI5OnqOPBNLWSHKh2a30DoXe8/edit?usp=sharing"",""พัทลุง!I545"")"),0)</f>
        <v>0</v>
      </c>
      <c r="J650" s="547">
        <f ca="1">IFERROR(__xludf.DUMMYFUNCTION("IMPORTRANGE(""https://docs.google.com/spreadsheets/d/1IYY_tgx_IHuhSq3AJ5eI5OnqOPBNLWSHKh2a30DoXe8/edit?usp=sharing"",""พัทลุง!J545"")"),0)</f>
        <v>0</v>
      </c>
      <c r="K650" s="548">
        <f t="shared" ca="1" si="130"/>
        <v>0</v>
      </c>
      <c r="L650" s="535">
        <f ca="1">IFERROR(__xludf.DUMMYFUNCTION("IMPORTRANGE(""https://docs.google.com/spreadsheets/d/1IYY_tgx_IHuhSq3AJ5eI5OnqOPBNLWSHKh2a30DoXe8/edit?usp=sharing"",""พัทลุง!L545"")"),0)</f>
        <v>0</v>
      </c>
      <c r="M650" s="534"/>
      <c r="N650" s="549">
        <f ca="1">IFERROR(__xludf.DUMMYFUNCTION("IMPORTRANGE(""https://docs.google.com/spreadsheets/d/1IYY_tgx_IHuhSq3AJ5eI5OnqOPBNLWSHKh2a30DoXe8/edit?usp=sharing"",""พัทลุง!M545"")"),0)</f>
        <v>0</v>
      </c>
      <c r="O650" s="548">
        <f t="shared" ca="1" si="131"/>
        <v>0</v>
      </c>
      <c r="P650" s="548"/>
    </row>
    <row r="651" spans="1:16" ht="21.75" customHeight="1" x14ac:dyDescent="0.3">
      <c r="A651" s="525"/>
      <c r="B651" s="526"/>
      <c r="C651" s="526"/>
      <c r="D651" s="526"/>
      <c r="E651" s="526"/>
      <c r="F651" s="598" t="s">
        <v>247</v>
      </c>
      <c r="G651" s="575"/>
      <c r="H651" s="529" t="s">
        <v>122</v>
      </c>
      <c r="I651" s="546">
        <f ca="1">IFERROR(__xludf.DUMMYFUNCTION("IMPORTRANGE(""https://docs.google.com/spreadsheets/d/1IYY_tgx_IHuhSq3AJ5eI5OnqOPBNLWSHKh2a30DoXe8/edit?usp=sharing"",""พัทลุง!I546"")"),0)</f>
        <v>0</v>
      </c>
      <c r="J651" s="547">
        <f ca="1">J657+J660</f>
        <v>0</v>
      </c>
      <c r="K651" s="548">
        <f t="shared" ca="1" si="130"/>
        <v>0</v>
      </c>
      <c r="L651" s="535">
        <f ca="1">IFERROR(__xludf.DUMMYFUNCTION("IMPORTRANGE(""https://docs.google.com/spreadsheets/d/1IYY_tgx_IHuhSq3AJ5eI5OnqOPBNLWSHKh2a30DoXe8/edit?usp=sharing"",""พัทลุง!L546"")"),0)</f>
        <v>0</v>
      </c>
      <c r="M651" s="534"/>
      <c r="N651" s="549">
        <f ca="1">IFERROR(__xludf.DUMMYFUNCTION("IMPORTRANGE(""https://docs.google.com/spreadsheets/d/1IYY_tgx_IHuhSq3AJ5eI5OnqOPBNLWSHKh2a30DoXe8/edit?usp=sharing"",""พัทลุง!M546"")"),0)</f>
        <v>0</v>
      </c>
      <c r="O651" s="548">
        <f t="shared" ca="1" si="131"/>
        <v>0</v>
      </c>
      <c r="P651" s="548"/>
    </row>
    <row r="652" spans="1:16" ht="21.75" customHeight="1" x14ac:dyDescent="0.3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IFERROR(__xludf.DUMMYFUNCTION("IMPORTRANGE(""https://docs.google.com/spreadsheets/d/1IYY_tgx_IHuhSq3AJ5eI5OnqOPBNLWSHKh2a30DoXe8/edit?usp=sharing"",""พัทลุง!J547"")"),0)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3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IFERROR(__xludf.DUMMYFUNCTION("IMPORTRANGE(""https://docs.google.com/spreadsheets/d/1IYY_tgx_IHuhSq3AJ5eI5OnqOPBNLWSHKh2a30DoXe8/edit?usp=sharing"",""พัทลุง!J548"")"),0)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3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3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IFERROR(__xludf.DUMMYFUNCTION("IMPORTRANGE(""https://docs.google.com/spreadsheets/d/1IYY_tgx_IHuhSq3AJ5eI5OnqOPBNLWSHKh2a30DoXe8/edit?usp=sharing"",""พัทลุง!J550"")"),0)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3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IFERROR(__xludf.DUMMYFUNCTION("IMPORTRANGE(""https://docs.google.com/spreadsheets/d/1IYY_tgx_IHuhSq3AJ5eI5OnqOPBNLWSHKh2a30DoXe8/edit?usp=sharing"",""พัทลุง!J551"")"),0)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3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IFERROR(__xludf.DUMMYFUNCTION("IMPORTRANGE(""https://docs.google.com/spreadsheets/d/1IYY_tgx_IHuhSq3AJ5eI5OnqOPBNLWSHKh2a30DoXe8/edit?usp=sharing"",""พัทลุง!J552"")"),0)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3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IFERROR(__xludf.DUMMYFUNCTION("IMPORTRANGE(""https://docs.google.com/spreadsheets/d/1IYY_tgx_IHuhSq3AJ5eI5OnqOPBNLWSHKh2a30DoXe8/edit?usp=sharing"",""พัทลุง!J553"")"),0)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3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IFERROR(__xludf.DUMMYFUNCTION("IMPORTRANGE(""https://docs.google.com/spreadsheets/d/1IYY_tgx_IHuhSq3AJ5eI5OnqOPBNLWSHKh2a30DoXe8/edit?usp=sharing"",""พัทลุง!J554"")"),0)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3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IFERROR(__xludf.DUMMYFUNCTION("IMPORTRANGE(""https://docs.google.com/spreadsheets/d/1IYY_tgx_IHuhSq3AJ5eI5OnqOPBNLWSHKh2a30DoXe8/edit?usp=sharing"",""พัทลุง!J555"")"),0)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3">
      <c r="A661" s="525"/>
      <c r="B661" s="526"/>
      <c r="C661" s="526"/>
      <c r="D661" s="526"/>
      <c r="E661" s="526"/>
      <c r="F661" s="598" t="s">
        <v>252</v>
      </c>
      <c r="G661" s="575"/>
      <c r="H661" s="529" t="s">
        <v>37</v>
      </c>
      <c r="I661" s="550"/>
      <c r="J661" s="547">
        <f ca="1">IFERROR(__xludf.DUMMYFUNCTION("IMPORTRANGE(""https://docs.google.com/spreadsheets/d/1IYY_tgx_IHuhSq3AJ5eI5OnqOPBNLWSHKh2a30DoXe8/edit?usp=sharing"",""พัทลุง!J556"")"),0)</f>
        <v>0</v>
      </c>
      <c r="K661" s="548"/>
      <c r="L661" s="535">
        <f ca="1">IFERROR(__xludf.DUMMYFUNCTION("IMPORTRANGE(""https://docs.google.com/spreadsheets/d/1IYY_tgx_IHuhSq3AJ5eI5OnqOPBNLWSHKh2a30DoXe8/edit?usp=sharing"",""พัทลุง!L556"")"),0)</f>
        <v>0</v>
      </c>
      <c r="M661" s="534"/>
      <c r="N661" s="549">
        <f ca="1">IFERROR(__xludf.DUMMYFUNCTION("IMPORTRANGE(""https://docs.google.com/spreadsheets/d/1IYY_tgx_IHuhSq3AJ5eI5OnqOPBNLWSHKh2a30DoXe8/edit?usp=sharing"",""พัทลุง!M556"")"),0)</f>
        <v>0</v>
      </c>
      <c r="O661" s="548">
        <f ca="1">IF(L661&gt;0,N661*100/L661,0)</f>
        <v>0</v>
      </c>
      <c r="P661" s="548"/>
    </row>
    <row r="662" spans="1:16" ht="21.75" customHeight="1" x14ac:dyDescent="0.3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IFERROR(__xludf.DUMMYFUNCTION("IMPORTRANGE(""https://docs.google.com/spreadsheets/d/1IYY_tgx_IHuhSq3AJ5eI5OnqOPBNLWSHKh2a30DoXe8/edit?usp=sharing"",""พัทลุง!J557"")"),0)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3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IFERROR(__xludf.DUMMYFUNCTION("IMPORTRANGE(""https://docs.google.com/spreadsheets/d/1IYY_tgx_IHuhSq3AJ5eI5OnqOPBNLWSHKh2a30DoXe8/edit?usp=sharing"",""พัทลุง!I558"")"),0)</f>
        <v>0</v>
      </c>
      <c r="J663" s="547">
        <f ca="1">IFERROR(__xludf.DUMMYFUNCTION("IMPORTRANGE(""https://docs.google.com/spreadsheets/d/1IYY_tgx_IHuhSq3AJ5eI5OnqOPBNLWSHKh2a30DoXe8/edit?usp=sharing"",""พัทลุง!J558"")"),0)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3">
      <c r="A664" s="525"/>
      <c r="B664" s="526"/>
      <c r="C664" s="526"/>
      <c r="D664" s="526"/>
      <c r="E664" s="526"/>
      <c r="F664" s="598" t="s">
        <v>253</v>
      </c>
      <c r="G664" s="575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3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IFERROR(__xludf.DUMMYFUNCTION("IMPORTRANGE(""https://docs.google.com/spreadsheets/d/1IYY_tgx_IHuhSq3AJ5eI5OnqOPBNLWSHKh2a30DoXe8/edit?usp=sharing"",""พัทลุง!I560"")"),0)</f>
        <v>0</v>
      </c>
      <c r="J665" s="547">
        <f ca="1">IFERROR(__xludf.DUMMYFUNCTION("IMPORTRANGE(""https://docs.google.com/spreadsheets/d/1IYY_tgx_IHuhSq3AJ5eI5OnqOPBNLWSHKh2a30DoXe8/edit?usp=sharing"",""พัทลุง!J560"")"),0)</f>
        <v>0</v>
      </c>
      <c r="K665" s="548">
        <f ca="1">IF(I665&gt;0,J665*100/I665,0)</f>
        <v>0</v>
      </c>
      <c r="L665" s="535">
        <f ca="1">IFERROR(__xludf.DUMMYFUNCTION("IMPORTRANGE(""https://docs.google.com/spreadsheets/d/1IYY_tgx_IHuhSq3AJ5eI5OnqOPBNLWSHKh2a30DoXe8/edit?usp=sharing"",""พัทลุง!L560"")"),0)</f>
        <v>0</v>
      </c>
      <c r="M665" s="534"/>
      <c r="N665" s="549">
        <f ca="1">IFERROR(__xludf.DUMMYFUNCTION("IMPORTRANGE(""https://docs.google.com/spreadsheets/d/1IYY_tgx_IHuhSq3AJ5eI5OnqOPBNLWSHKh2a30DoXe8/edit?usp=sharing"",""พัทลุง!M560"")"),0)</f>
        <v>0</v>
      </c>
      <c r="O665" s="548">
        <f ca="1">IF(L665&gt;0,N665*100/L665,0)</f>
        <v>0</v>
      </c>
      <c r="P665" s="548"/>
    </row>
    <row r="666" spans="1:16" ht="21.75" customHeight="1" x14ac:dyDescent="0.3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IFERROR(__xludf.DUMMYFUNCTION("IMPORTRANGE(""https://docs.google.com/spreadsheets/d/1IYY_tgx_IHuhSq3AJ5eI5OnqOPBNLWSHKh2a30DoXe8/edit?usp=sharing"",""พัทลุง!J561"")"),0)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3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IFERROR(__xludf.DUMMYFUNCTION("IMPORTRANGE(""https://docs.google.com/spreadsheets/d/1IYY_tgx_IHuhSq3AJ5eI5OnqOPBNLWSHKh2a30DoXe8/edit?usp=sharing"",""พัทลุง!J562"")"),0)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3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IFERROR(__xludf.DUMMYFUNCTION("IMPORTRANGE(""https://docs.google.com/spreadsheets/d/1IYY_tgx_IHuhSq3AJ5eI5OnqOPBNLWSHKh2a30DoXe8/edit?usp=sharing"",""พัทลุง!I563"")"),0)</f>
        <v>0</v>
      </c>
      <c r="J668" s="547">
        <f ca="1">IFERROR(__xludf.DUMMYFUNCTION("IMPORTRANGE(""https://docs.google.com/spreadsheets/d/1IYY_tgx_IHuhSq3AJ5eI5OnqOPBNLWSHKh2a30DoXe8/edit?usp=sharing"",""พัทลุง!J563"")"),0)</f>
        <v>0</v>
      </c>
      <c r="K668" s="548">
        <f ca="1">IF(I668&gt;0,J668*100/I668,0)</f>
        <v>0</v>
      </c>
      <c r="L668" s="535">
        <f ca="1">IFERROR(__xludf.DUMMYFUNCTION("IMPORTRANGE(""https://docs.google.com/spreadsheets/d/1IYY_tgx_IHuhSq3AJ5eI5OnqOPBNLWSHKh2a30DoXe8/edit?usp=sharing"",""พัทลุง!L563"")"),0)</f>
        <v>0</v>
      </c>
      <c r="M668" s="534"/>
      <c r="N668" s="549">
        <f ca="1">IFERROR(__xludf.DUMMYFUNCTION("IMPORTRANGE(""https://docs.google.com/spreadsheets/d/1IYY_tgx_IHuhSq3AJ5eI5OnqOPBNLWSHKh2a30DoXe8/edit?usp=sharing"",""พัทลุง!M563"")"),0)</f>
        <v>0</v>
      </c>
      <c r="O668" s="548">
        <f ca="1">IF(L668&gt;0,N668*100/L668,0)</f>
        <v>0</v>
      </c>
      <c r="P668" s="548"/>
    </row>
    <row r="669" spans="1:16" ht="21.75" customHeight="1" x14ac:dyDescent="0.3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IFERROR(__xludf.DUMMYFUNCTION("IMPORTRANGE(""https://docs.google.com/spreadsheets/d/1IYY_tgx_IHuhSq3AJ5eI5OnqOPBNLWSHKh2a30DoXe8/edit?usp=sharing"",""พัทลุง!J564"")"),0)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3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IFERROR(__xludf.DUMMYFUNCTION("IMPORTRANGE(""https://docs.google.com/spreadsheets/d/1IYY_tgx_IHuhSq3AJ5eI5OnqOPBNLWSHKh2a30DoXe8/edit?usp=sharing"",""พัทลุง!J565"")"),0)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3">
      <c r="A671" s="525"/>
      <c r="B671" s="526"/>
      <c r="C671" s="526"/>
      <c r="D671" s="526"/>
      <c r="E671" s="526"/>
      <c r="F671" s="598" t="s">
        <v>256</v>
      </c>
      <c r="G671" s="575"/>
      <c r="H671" s="529" t="s">
        <v>122</v>
      </c>
      <c r="I671" s="546">
        <f ca="1">IFERROR(__xludf.DUMMYFUNCTION("IMPORTRANGE(""https://docs.google.com/spreadsheets/d/1IYY_tgx_IHuhSq3AJ5eI5OnqOPBNLWSHKh2a30DoXe8/edit?usp=sharing"",""พัทลุง!I566"")"),0)</f>
        <v>0</v>
      </c>
      <c r="J671" s="547">
        <f ca="1">J674+J677</f>
        <v>0</v>
      </c>
      <c r="K671" s="548">
        <f ca="1">IF(I671&gt;0,J671*100/I671,0)</f>
        <v>0</v>
      </c>
      <c r="L671" s="535">
        <f ca="1">IFERROR(__xludf.DUMMYFUNCTION("IMPORTRANGE(""https://docs.google.com/spreadsheets/d/1IYY_tgx_IHuhSq3AJ5eI5OnqOPBNLWSHKh2a30DoXe8/edit?usp=sharing"",""พัทลุง!L566"")"),0)</f>
        <v>0</v>
      </c>
      <c r="M671" s="534"/>
      <c r="N671" s="549">
        <f ca="1">IFERROR(__xludf.DUMMYFUNCTION("IMPORTRANGE(""https://docs.google.com/spreadsheets/d/1IYY_tgx_IHuhSq3AJ5eI5OnqOPBNLWSHKh2a30DoXe8/edit?usp=sharing"",""พัทลุง!M566"")"),0)</f>
        <v>0</v>
      </c>
      <c r="O671" s="548">
        <f ca="1">IF(L671&gt;0,N671*100/L671,0)</f>
        <v>0</v>
      </c>
      <c r="P671" s="548"/>
    </row>
    <row r="672" spans="1:16" ht="21.75" customHeight="1" x14ac:dyDescent="0.3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IFERROR(__xludf.DUMMYFUNCTION("IMPORTRANGE(""https://docs.google.com/spreadsheets/d/1IYY_tgx_IHuhSq3AJ5eI5OnqOPBNLWSHKh2a30DoXe8/edit?usp=sharing"",""พัทลุง!J567"")"),0)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3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IFERROR(__xludf.DUMMYFUNCTION("IMPORTRANGE(""https://docs.google.com/spreadsheets/d/1IYY_tgx_IHuhSq3AJ5eI5OnqOPBNLWSHKh2a30DoXe8/edit?usp=sharing"",""พัทลุง!J568"")"),0)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3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IFERROR(__xludf.DUMMYFUNCTION("IMPORTRANGE(""https://docs.google.com/spreadsheets/d/1IYY_tgx_IHuhSq3AJ5eI5OnqOPBNLWSHKh2a30DoXe8/edit?usp=sharing"",""พัทลุง!J569"")"),0)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3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IFERROR(__xludf.DUMMYFUNCTION("IMPORTRANGE(""https://docs.google.com/spreadsheets/d/1IYY_tgx_IHuhSq3AJ5eI5OnqOPBNLWSHKh2a30DoXe8/edit?usp=sharing"",""พัทลุง!J570"")"),0)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3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IFERROR(__xludf.DUMMYFUNCTION("IMPORTRANGE(""https://docs.google.com/spreadsheets/d/1IYY_tgx_IHuhSq3AJ5eI5OnqOPBNLWSHKh2a30DoXe8/edit?usp=sharing"",""พัทลุง!J571"")"),0)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3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IFERROR(__xludf.DUMMYFUNCTION("IMPORTRANGE(""https://docs.google.com/spreadsheets/d/1IYY_tgx_IHuhSq3AJ5eI5OnqOPBNLWSHKh2a30DoXe8/edit?usp=sharing"",""พัทลุง!J572"")"),0)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2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2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2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2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2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2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2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2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2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2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2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2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2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2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2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2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2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2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2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2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2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2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2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2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2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2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2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2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2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2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2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2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2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2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2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2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2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2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2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2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2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2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2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2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2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2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2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2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2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2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2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2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2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2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2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2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2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2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2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2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2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2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2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2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2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2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2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2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2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2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2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2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2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2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2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2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2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2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2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2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2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2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2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2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2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2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2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2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2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2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2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2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2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2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2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2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2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2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2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2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2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2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2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2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2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2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2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2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2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2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2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2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2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2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2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2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2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2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2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2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2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2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2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2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2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2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2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2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2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2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2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2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2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2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2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2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2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2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2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2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2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2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2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2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2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2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2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2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2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2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2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2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2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2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2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2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2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2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2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2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2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2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2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2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2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2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2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2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2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2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2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2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2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2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2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2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2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2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2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2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2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2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2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2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2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2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2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2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2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2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2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2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2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2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2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2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2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2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2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2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2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2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2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2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2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2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2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2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2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2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2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2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2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2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2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2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2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2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2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2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2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2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2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2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2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2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2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2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2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2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2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2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2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2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2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2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2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2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2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2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2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2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2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2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2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2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2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2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2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2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2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2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2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2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2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2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2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2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2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2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2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2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2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2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2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2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2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2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2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2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2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2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2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2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2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2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2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2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2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2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2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2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2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2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2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2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2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2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2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2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2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2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2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2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2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2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2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2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2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2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2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2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2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2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2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2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2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2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2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2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2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2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2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2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2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2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2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2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2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2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2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2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2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2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2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2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2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2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2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2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2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2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2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2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2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2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2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2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2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2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2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2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2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2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2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2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2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2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2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2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2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2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2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2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2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2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2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2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2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2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2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2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2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2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2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2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2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2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2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2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2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2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2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2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2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2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2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2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2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2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2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2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2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2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2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2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2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2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2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2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2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2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2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2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2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2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2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2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2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2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2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2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2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2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2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2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2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2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2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2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2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2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2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2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2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2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2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2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2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2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2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2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2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2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2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2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2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2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2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2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2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2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2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2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2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2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2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2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2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2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2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2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2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2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2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2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2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2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2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2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2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2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2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2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2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2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2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2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2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2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2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2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2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2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2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2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19685039370078741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32" max="16383" man="1"/>
    <brk id="626" max="16383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15</vt:i4>
      </vt:variant>
    </vt:vector>
  </HeadingPairs>
  <TitlesOfParts>
    <vt:vector size="30" baseType="lpstr">
      <vt:lpstr>รวมใต้</vt:lpstr>
      <vt:lpstr>กระบี่</vt:lpstr>
      <vt:lpstr>ชุมพร</vt:lpstr>
      <vt:lpstr>ตรัง</vt:lpstr>
      <vt:lpstr>นครศรีธรรมราช</vt:lpstr>
      <vt:lpstr>นราธิวาส</vt:lpstr>
      <vt:lpstr>ปัตตานี</vt:lpstr>
      <vt:lpstr>พังงา</vt:lpstr>
      <vt:lpstr>พัทลุง</vt:lpstr>
      <vt:lpstr>ภูเก็ต</vt:lpstr>
      <vt:lpstr>ยะลา</vt:lpstr>
      <vt:lpstr>ระนอง</vt:lpstr>
      <vt:lpstr>สงขลา</vt:lpstr>
      <vt:lpstr>สตูล</vt:lpstr>
      <vt:lpstr>สุราษฎร์ธานี</vt:lpstr>
      <vt:lpstr>กระบี่!Print_Titles</vt:lpstr>
      <vt:lpstr>ชุมพร!Print_Titles</vt:lpstr>
      <vt:lpstr>ตรัง!Print_Titles</vt:lpstr>
      <vt:lpstr>นครศรีธรรมราช!Print_Titles</vt:lpstr>
      <vt:lpstr>นราธิวาส!Print_Titles</vt:lpstr>
      <vt:lpstr>ปัตตานี!Print_Titles</vt:lpstr>
      <vt:lpstr>พังงา!Print_Titles</vt:lpstr>
      <vt:lpstr>พัทลุง!Print_Titles</vt:lpstr>
      <vt:lpstr>ภูเก็ต!Print_Titles</vt:lpstr>
      <vt:lpstr>ยะลา!Print_Titles</vt:lpstr>
      <vt:lpstr>รวมใต้!Print_Titles</vt:lpstr>
      <vt:lpstr>ระนอง!Print_Titles</vt:lpstr>
      <vt:lpstr>สงขลา!Print_Titles</vt:lpstr>
      <vt:lpstr>สตูล!Print_Titles</vt:lpstr>
      <vt:lpstr>สุราษฎร์ธานี!Print_Titles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dcterms:modified xsi:type="dcterms:W3CDTF">2022-09-07T03:06:21Z</dcterms:modified>
</cp:coreProperties>
</file>